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velshternshteyn/Library/Mobile Documents/com~apple~CloudDocs/Desktop/"/>
    </mc:Choice>
  </mc:AlternateContent>
  <xr:revisionPtr revIDLastSave="0" documentId="13_ncr:1_{17FE6335-AEB7-CF46-B426-C5B9F4A6A4E4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нержавеющий прокат" sheetId="1" r:id="rId1"/>
    <sheet name="черные трубы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4" i="2" l="1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0" i="2"/>
  <c r="E479" i="2"/>
  <c r="E477" i="2"/>
  <c r="E476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0" i="2"/>
  <c r="E249" i="2"/>
  <c r="E248" i="2"/>
  <c r="E247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</calcChain>
</file>

<file path=xl/sharedStrings.xml><?xml version="1.0" encoding="utf-8"?>
<sst xmlns="http://schemas.openxmlformats.org/spreadsheetml/2006/main" count="5692" uniqueCount="1141">
  <si>
    <t>Марка стали</t>
  </si>
  <si>
    <t>10х1</t>
  </si>
  <si>
    <t>10х2</t>
  </si>
  <si>
    <t>12х2,5</t>
  </si>
  <si>
    <t>14х1,5</t>
  </si>
  <si>
    <t>14х2</t>
  </si>
  <si>
    <t>14х2,5</t>
  </si>
  <si>
    <t>14х3</t>
  </si>
  <si>
    <t>16х1,5</t>
  </si>
  <si>
    <t>16х2,5</t>
  </si>
  <si>
    <t>18х2</t>
  </si>
  <si>
    <t>18х3</t>
  </si>
  <si>
    <t>20х2,5</t>
  </si>
  <si>
    <t>22х2,5</t>
  </si>
  <si>
    <t>22х3</t>
  </si>
  <si>
    <t>25х3</t>
  </si>
  <si>
    <t>25х4</t>
  </si>
  <si>
    <t>27х3</t>
  </si>
  <si>
    <t>28х3</t>
  </si>
  <si>
    <t>28х4</t>
  </si>
  <si>
    <t>32х2</t>
  </si>
  <si>
    <t>32х3</t>
  </si>
  <si>
    <t>32х4</t>
  </si>
  <si>
    <t>38х3</t>
  </si>
  <si>
    <t>38х6</t>
  </si>
  <si>
    <t>42х3</t>
  </si>
  <si>
    <t>45х3</t>
  </si>
  <si>
    <t>45х3,5</t>
  </si>
  <si>
    <t>45х4</t>
  </si>
  <si>
    <t>45х5</t>
  </si>
  <si>
    <t>48х3</t>
  </si>
  <si>
    <t>57х3</t>
  </si>
  <si>
    <t>57х4</t>
  </si>
  <si>
    <t>60х3</t>
  </si>
  <si>
    <t>60х3,5</t>
  </si>
  <si>
    <t>60х4</t>
  </si>
  <si>
    <t>75х4,5</t>
  </si>
  <si>
    <t>76х3,5</t>
  </si>
  <si>
    <t>76х4</t>
  </si>
  <si>
    <t>76х4,5</t>
  </si>
  <si>
    <t>76х5</t>
  </si>
  <si>
    <t>76х8</t>
  </si>
  <si>
    <t>89х3</t>
  </si>
  <si>
    <t>89х4</t>
  </si>
  <si>
    <t>89х5</t>
  </si>
  <si>
    <t>89х6</t>
  </si>
  <si>
    <t>89х8</t>
  </si>
  <si>
    <t>102х6</t>
  </si>
  <si>
    <t>102х8</t>
  </si>
  <si>
    <t>108х3,5</t>
  </si>
  <si>
    <t>108х4</t>
  </si>
  <si>
    <t>108х5</t>
  </si>
  <si>
    <t>121х6</t>
  </si>
  <si>
    <t>159х6</t>
  </si>
  <si>
    <t>168х7</t>
  </si>
  <si>
    <t>219х6</t>
  </si>
  <si>
    <t>219х8</t>
  </si>
  <si>
    <t>219х10</t>
  </si>
  <si>
    <t>273х6</t>
  </si>
  <si>
    <t>273х11</t>
  </si>
  <si>
    <t>12х18н10т</t>
  </si>
  <si>
    <t>9941-81.</t>
  </si>
  <si>
    <t>08х18н10т</t>
  </si>
  <si>
    <t>9941-81</t>
  </si>
  <si>
    <t>89х3,5</t>
  </si>
  <si>
    <t>114х6</t>
  </si>
  <si>
    <t>10х17н13м2т</t>
  </si>
  <si>
    <t>AISI-316L</t>
  </si>
  <si>
    <t>325х10</t>
  </si>
  <si>
    <t>ф14</t>
  </si>
  <si>
    <t>ф18</t>
  </si>
  <si>
    <t>ф20</t>
  </si>
  <si>
    <t>ф22</t>
  </si>
  <si>
    <t>ф30</t>
  </si>
  <si>
    <t>ф35</t>
  </si>
  <si>
    <t>ф38</t>
  </si>
  <si>
    <t>ф42</t>
  </si>
  <si>
    <t>ф48</t>
  </si>
  <si>
    <t>ф50</t>
  </si>
  <si>
    <t>ф53</t>
  </si>
  <si>
    <t>ф65</t>
  </si>
  <si>
    <t>ф70</t>
  </si>
  <si>
    <t>ф75</t>
  </si>
  <si>
    <t>ф105</t>
  </si>
  <si>
    <t>325х12</t>
  </si>
  <si>
    <t>30х5</t>
  </si>
  <si>
    <t>8х2</t>
  </si>
  <si>
    <t>12х1,8</t>
  </si>
  <si>
    <t>32х5</t>
  </si>
  <si>
    <t>10х1,5</t>
  </si>
  <si>
    <t>10х2,5</t>
  </si>
  <si>
    <t>12х2</t>
  </si>
  <si>
    <t>14х1</t>
  </si>
  <si>
    <t>15х1,5</t>
  </si>
  <si>
    <t>16х1,2</t>
  </si>
  <si>
    <t>17х2,5</t>
  </si>
  <si>
    <t>17х3</t>
  </si>
  <si>
    <t>18х1</t>
  </si>
  <si>
    <t>18х4</t>
  </si>
  <si>
    <t>19х1</t>
  </si>
  <si>
    <t>20х1</t>
  </si>
  <si>
    <t>20х2,2</t>
  </si>
  <si>
    <t>25х2,5</t>
  </si>
  <si>
    <t>25х5</t>
  </si>
  <si>
    <t>08-12х18н10т</t>
  </si>
  <si>
    <t>28х1</t>
  </si>
  <si>
    <t>28х1,5</t>
  </si>
  <si>
    <t>28х2</t>
  </si>
  <si>
    <t>28х3,5</t>
  </si>
  <si>
    <t>32х2,5</t>
  </si>
  <si>
    <t>32х6</t>
  </si>
  <si>
    <t>36х2</t>
  </si>
  <si>
    <t>38х2</t>
  </si>
  <si>
    <t>40х3</t>
  </si>
  <si>
    <t>42х0,8</t>
  </si>
  <si>
    <t>42х2</t>
  </si>
  <si>
    <t>42х2,5</t>
  </si>
  <si>
    <t>45х2,5</t>
  </si>
  <si>
    <t>48х6</t>
  </si>
  <si>
    <t>57х5</t>
  </si>
  <si>
    <t>60х5,5</t>
  </si>
  <si>
    <t>70х2,5</t>
  </si>
  <si>
    <t>75х8</t>
  </si>
  <si>
    <t>76х6</t>
  </si>
  <si>
    <t>89х12</t>
  </si>
  <si>
    <t>102х5,5</t>
  </si>
  <si>
    <t>102х7</t>
  </si>
  <si>
    <t>194х10</t>
  </si>
  <si>
    <t>19х2</t>
  </si>
  <si>
    <t>20х2</t>
  </si>
  <si>
    <t>12х13</t>
  </si>
  <si>
    <t>14пх2</t>
  </si>
  <si>
    <t>30х13</t>
  </si>
  <si>
    <t>лист 12х18н10т</t>
  </si>
  <si>
    <t>1,2х1х2</t>
  </si>
  <si>
    <t>ООО «ГЕЛИОС »</t>
  </si>
  <si>
    <t>108х6</t>
  </si>
  <si>
    <t>15х3</t>
  </si>
  <si>
    <t>32х3,5</t>
  </si>
  <si>
    <t>36х3</t>
  </si>
  <si>
    <t>38х2,5</t>
  </si>
  <si>
    <t>38х5</t>
  </si>
  <si>
    <t>89х5,5-6</t>
  </si>
  <si>
    <t>108х7</t>
  </si>
  <si>
    <t>219х14</t>
  </si>
  <si>
    <t>аиси 321</t>
  </si>
  <si>
    <t>ф10кал</t>
  </si>
  <si>
    <t>ф45</t>
  </si>
  <si>
    <t>ф115</t>
  </si>
  <si>
    <t>размер</t>
  </si>
  <si>
    <t>38х3,5</t>
  </si>
  <si>
    <t>60х5</t>
  </si>
  <si>
    <t>68х6</t>
  </si>
  <si>
    <t>22х2</t>
  </si>
  <si>
    <t>57х4,5</t>
  </si>
  <si>
    <t>ф95</t>
  </si>
  <si>
    <t>9941-81короткие.</t>
  </si>
  <si>
    <t>89х10</t>
  </si>
  <si>
    <t>159х5</t>
  </si>
  <si>
    <t>г.Екатеринбург</t>
  </si>
  <si>
    <t>325х18</t>
  </si>
  <si>
    <t>273х14</t>
  </si>
  <si>
    <t>159х8</t>
  </si>
  <si>
    <t>8х1</t>
  </si>
  <si>
    <t>18х1,5</t>
  </si>
  <si>
    <t xml:space="preserve"> 20х3</t>
  </si>
  <si>
    <t>25х1,5</t>
  </si>
  <si>
    <t>76х3</t>
  </si>
  <si>
    <t>89х2,5</t>
  </si>
  <si>
    <t>95х3</t>
  </si>
  <si>
    <t>102х6,5</t>
  </si>
  <si>
    <t>108х8</t>
  </si>
  <si>
    <t>219х9</t>
  </si>
  <si>
    <t>отводы</t>
  </si>
  <si>
    <t>тройник</t>
  </si>
  <si>
    <t>заглушки</t>
  </si>
  <si>
    <t>426х22</t>
  </si>
  <si>
    <t>5949-75.</t>
  </si>
  <si>
    <t>дсс</t>
  </si>
  <si>
    <t>электросталь</t>
  </si>
  <si>
    <t>шестигранник 12х18н10т</t>
  </si>
  <si>
    <t>ш 12</t>
  </si>
  <si>
    <t>франция</t>
  </si>
  <si>
    <t>18х2,5</t>
  </si>
  <si>
    <t>76х10</t>
  </si>
  <si>
    <t>95х5</t>
  </si>
  <si>
    <t>102х5</t>
  </si>
  <si>
    <t>146х8</t>
  </si>
  <si>
    <t>168х10</t>
  </si>
  <si>
    <t>180х8</t>
  </si>
  <si>
    <t>273х12</t>
  </si>
  <si>
    <t>325х8</t>
  </si>
  <si>
    <t>377х10</t>
  </si>
  <si>
    <t>426х10</t>
  </si>
  <si>
    <t>426х12</t>
  </si>
  <si>
    <t>8х0,6</t>
  </si>
  <si>
    <t>12х1,2</t>
  </si>
  <si>
    <t>40х3,5</t>
  </si>
  <si>
    <t>9941-81кнр</t>
  </si>
  <si>
    <t>08х17н13м2т</t>
  </si>
  <si>
    <t>осветленные</t>
  </si>
  <si>
    <t>426х8</t>
  </si>
  <si>
    <t>325х6</t>
  </si>
  <si>
    <t>133Х5</t>
  </si>
  <si>
    <t>270м</t>
  </si>
  <si>
    <t>4х1,4</t>
  </si>
  <si>
    <t>8х0,8</t>
  </si>
  <si>
    <t>99м</t>
  </si>
  <si>
    <t>104м</t>
  </si>
  <si>
    <t>20х0,5</t>
  </si>
  <si>
    <t>20х0,6</t>
  </si>
  <si>
    <t>66м</t>
  </si>
  <si>
    <t>22х1,5</t>
  </si>
  <si>
    <t>24х0,8</t>
  </si>
  <si>
    <t>300м</t>
  </si>
  <si>
    <t>25х0,8</t>
  </si>
  <si>
    <t>101м</t>
  </si>
  <si>
    <t>118м</t>
  </si>
  <si>
    <t>32х0,8</t>
  </si>
  <si>
    <t>87м</t>
  </si>
  <si>
    <t>85х1</t>
  </si>
  <si>
    <t>aisi 316ti</t>
  </si>
  <si>
    <t>12х0,8</t>
  </si>
  <si>
    <t>кол-во тн \м</t>
  </si>
  <si>
    <t>22х4</t>
  </si>
  <si>
    <t>трубы 12х18н10т</t>
  </si>
  <si>
    <t>труба 10Х17н13м2т</t>
  </si>
  <si>
    <t>труба 12х13</t>
  </si>
  <si>
    <t>детали трубопроводов</t>
  </si>
  <si>
    <t>круг 08-12х18н10т</t>
  </si>
  <si>
    <t>круг 30х13</t>
  </si>
  <si>
    <t>круг 10х17н13м2т</t>
  </si>
  <si>
    <t>круг  aisi 316ti</t>
  </si>
  <si>
    <t>нд</t>
  </si>
  <si>
    <t>09г2с</t>
  </si>
  <si>
    <t>38х3,0</t>
  </si>
  <si>
    <t>38х4</t>
  </si>
  <si>
    <t>40х4</t>
  </si>
  <si>
    <t>40х6</t>
  </si>
  <si>
    <t>40х7</t>
  </si>
  <si>
    <t>40х8</t>
  </si>
  <si>
    <t>40х9</t>
  </si>
  <si>
    <t>42х3,5</t>
  </si>
  <si>
    <t>42х4</t>
  </si>
  <si>
    <t>42х5</t>
  </si>
  <si>
    <t>42х6</t>
  </si>
  <si>
    <t>42х7</t>
  </si>
  <si>
    <t>42х8</t>
  </si>
  <si>
    <t>42х9</t>
  </si>
  <si>
    <t>45х6</t>
  </si>
  <si>
    <t>45х7</t>
  </si>
  <si>
    <t>45х8</t>
  </si>
  <si>
    <t>45х9</t>
  </si>
  <si>
    <t>45х10</t>
  </si>
  <si>
    <t>48х3,5</t>
  </si>
  <si>
    <t>48х4</t>
  </si>
  <si>
    <t>48х4,5</t>
  </si>
  <si>
    <t>48х5</t>
  </si>
  <si>
    <t>48х8</t>
  </si>
  <si>
    <t>48х10</t>
  </si>
  <si>
    <t>50х4</t>
  </si>
  <si>
    <t>50х5</t>
  </si>
  <si>
    <t>50х6</t>
  </si>
  <si>
    <t>50х8</t>
  </si>
  <si>
    <t>50х10</t>
  </si>
  <si>
    <t>51х3,5</t>
  </si>
  <si>
    <t>51х4</t>
  </si>
  <si>
    <t>51х5</t>
  </si>
  <si>
    <t>51х6</t>
  </si>
  <si>
    <t>51х8</t>
  </si>
  <si>
    <t>51х10</t>
  </si>
  <si>
    <t>54х4</t>
  </si>
  <si>
    <t>54х6</t>
  </si>
  <si>
    <t>54х8</t>
  </si>
  <si>
    <t>54х10</t>
  </si>
  <si>
    <t>54х12</t>
  </si>
  <si>
    <t>57х3,2</t>
  </si>
  <si>
    <t>57х3,5</t>
  </si>
  <si>
    <t>57х6</t>
  </si>
  <si>
    <t>57х7</t>
  </si>
  <si>
    <t>57х8</t>
  </si>
  <si>
    <t>57х10</t>
  </si>
  <si>
    <t>57х12</t>
  </si>
  <si>
    <t>57х13</t>
  </si>
  <si>
    <t>57х14</t>
  </si>
  <si>
    <t>60х6</t>
  </si>
  <si>
    <t>60х7</t>
  </si>
  <si>
    <t>60х8</t>
  </si>
  <si>
    <t>60х10</t>
  </si>
  <si>
    <t>60х12</t>
  </si>
  <si>
    <t>60х14</t>
  </si>
  <si>
    <t>63,5х5</t>
  </si>
  <si>
    <t>63,5х6</t>
  </si>
  <si>
    <t>63,5х8</t>
  </si>
  <si>
    <t>63,5х12</t>
  </si>
  <si>
    <t>68х3,5</t>
  </si>
  <si>
    <t>68х4</t>
  </si>
  <si>
    <t>68х5</t>
  </si>
  <si>
    <t>68х8</t>
  </si>
  <si>
    <t>68х10</t>
  </si>
  <si>
    <t>68х12</t>
  </si>
  <si>
    <t>68х14</t>
  </si>
  <si>
    <t>68х16</t>
  </si>
  <si>
    <t>70х4</t>
  </si>
  <si>
    <t>70х5</t>
  </si>
  <si>
    <t>70х6</t>
  </si>
  <si>
    <t>70х8</t>
  </si>
  <si>
    <t>70х10</t>
  </si>
  <si>
    <t>70х12</t>
  </si>
  <si>
    <t>70х14</t>
  </si>
  <si>
    <t>70х16</t>
  </si>
  <si>
    <t>70х18</t>
  </si>
  <si>
    <t>70х20</t>
  </si>
  <si>
    <t>73х4</t>
  </si>
  <si>
    <t>73х5</t>
  </si>
  <si>
    <t>73х6</t>
  </si>
  <si>
    <t>73х7</t>
  </si>
  <si>
    <t>73х8</t>
  </si>
  <si>
    <t>73х10</t>
  </si>
  <si>
    <t>73х12</t>
  </si>
  <si>
    <t>73х14</t>
  </si>
  <si>
    <t>73х18</t>
  </si>
  <si>
    <t>73х20</t>
  </si>
  <si>
    <t>76х12</t>
  </si>
  <si>
    <t>76х14</t>
  </si>
  <si>
    <t>76х16</t>
  </si>
  <si>
    <t>76х18</t>
  </si>
  <si>
    <t>76х20</t>
  </si>
  <si>
    <t>83х3,5</t>
  </si>
  <si>
    <t>83х4</t>
  </si>
  <si>
    <t>83х5</t>
  </si>
  <si>
    <t>83х6</t>
  </si>
  <si>
    <t>83х8</t>
  </si>
  <si>
    <t>83х10</t>
  </si>
  <si>
    <t>83х12</t>
  </si>
  <si>
    <t>83х14</t>
  </si>
  <si>
    <t>83х16</t>
  </si>
  <si>
    <t>83х18</t>
  </si>
  <si>
    <t>83х20</t>
  </si>
  <si>
    <t>83х22</t>
  </si>
  <si>
    <t>89х4,5</t>
  </si>
  <si>
    <t>89х7</t>
  </si>
  <si>
    <t>89х9</t>
  </si>
  <si>
    <t>89х14</t>
  </si>
  <si>
    <t>89х16</t>
  </si>
  <si>
    <t>89х18</t>
  </si>
  <si>
    <t>89х20</t>
  </si>
  <si>
    <t>89х22</t>
  </si>
  <si>
    <t>89х24</t>
  </si>
  <si>
    <t>95х6</t>
  </si>
  <si>
    <t>95х8</t>
  </si>
  <si>
    <t>95х10</t>
  </si>
  <si>
    <t>95х12</t>
  </si>
  <si>
    <t>95х14</t>
  </si>
  <si>
    <t>95х16</t>
  </si>
  <si>
    <t>95х18</t>
  </si>
  <si>
    <t>95х20</t>
  </si>
  <si>
    <t>95х22</t>
  </si>
  <si>
    <t>95х24</t>
  </si>
  <si>
    <t>102х4,5</t>
  </si>
  <si>
    <t>102х10</t>
  </si>
  <si>
    <t>102х12</t>
  </si>
  <si>
    <t>102х20</t>
  </si>
  <si>
    <t>102х22</t>
  </si>
  <si>
    <t>102х24</t>
  </si>
  <si>
    <t>102х28</t>
  </si>
  <si>
    <t>108х4,5</t>
  </si>
  <si>
    <t>108х9</t>
  </si>
  <si>
    <t>108х10</t>
  </si>
  <si>
    <t>108х12</t>
  </si>
  <si>
    <t>108х14</t>
  </si>
  <si>
    <t>108х16</t>
  </si>
  <si>
    <t>108х18</t>
  </si>
  <si>
    <t>108х20</t>
  </si>
  <si>
    <t>108х24</t>
  </si>
  <si>
    <t>108х25</t>
  </si>
  <si>
    <t>108х28</t>
  </si>
  <si>
    <t>108х30</t>
  </si>
  <si>
    <t>114х4</t>
  </si>
  <si>
    <t>114х4,5</t>
  </si>
  <si>
    <t>114х5</t>
  </si>
  <si>
    <t>114х7</t>
  </si>
  <si>
    <t>114х8</t>
  </si>
  <si>
    <t>114х9</t>
  </si>
  <si>
    <t>114х10</t>
  </si>
  <si>
    <t>114х12</t>
  </si>
  <si>
    <t>114х14</t>
  </si>
  <si>
    <t>114х16</t>
  </si>
  <si>
    <t>114х18</t>
  </si>
  <si>
    <t>114х20</t>
  </si>
  <si>
    <t>114х22</t>
  </si>
  <si>
    <t>114х25</t>
  </si>
  <si>
    <t>114х28</t>
  </si>
  <si>
    <t>114х30</t>
  </si>
  <si>
    <t>114х32</t>
  </si>
  <si>
    <t>121х5</t>
  </si>
  <si>
    <t>121х8</t>
  </si>
  <si>
    <t>121х9</t>
  </si>
  <si>
    <t>121х10</t>
  </si>
  <si>
    <t>121х12</t>
  </si>
  <si>
    <t>121х14</t>
  </si>
  <si>
    <t>121х16</t>
  </si>
  <si>
    <t>121х18</t>
  </si>
  <si>
    <t>121х20</t>
  </si>
  <si>
    <t>121х22</t>
  </si>
  <si>
    <t>121х25</t>
  </si>
  <si>
    <t>121х28</t>
  </si>
  <si>
    <t>121х30</t>
  </si>
  <si>
    <t>127х4</t>
  </si>
  <si>
    <t>127х5</t>
  </si>
  <si>
    <t>127х6</t>
  </si>
  <si>
    <t>127х7</t>
  </si>
  <si>
    <t>127х8</t>
  </si>
  <si>
    <t>127х10</t>
  </si>
  <si>
    <t>127х12</t>
  </si>
  <si>
    <t>127х14</t>
  </si>
  <si>
    <t>127х16</t>
  </si>
  <si>
    <t>127х18</t>
  </si>
  <si>
    <t>127х20</t>
  </si>
  <si>
    <t>127х22</t>
  </si>
  <si>
    <t>127х25</t>
  </si>
  <si>
    <t>127х30</t>
  </si>
  <si>
    <t>127х35</t>
  </si>
  <si>
    <t>133х4</t>
  </si>
  <si>
    <t>133х5</t>
  </si>
  <si>
    <t>133х6</t>
  </si>
  <si>
    <t>133х7</t>
  </si>
  <si>
    <t>133х8</t>
  </si>
  <si>
    <t>133х10</t>
  </si>
  <si>
    <t>133х12</t>
  </si>
  <si>
    <t>133х13</t>
  </si>
  <si>
    <t>133х16</t>
  </si>
  <si>
    <t>133х20</t>
  </si>
  <si>
    <t>133х22</t>
  </si>
  <si>
    <t>133х25</t>
  </si>
  <si>
    <t>133х28</t>
  </si>
  <si>
    <t>133х30</t>
  </si>
  <si>
    <t>133х32</t>
  </si>
  <si>
    <t>133х36</t>
  </si>
  <si>
    <t>140х5</t>
  </si>
  <si>
    <t>140х6</t>
  </si>
  <si>
    <t>140х7</t>
  </si>
  <si>
    <t>140х8</t>
  </si>
  <si>
    <t>140х10</t>
  </si>
  <si>
    <t>140х12</t>
  </si>
  <si>
    <t>140х14</t>
  </si>
  <si>
    <t>140х16</t>
  </si>
  <si>
    <t>140х20</t>
  </si>
  <si>
    <t>140х22</t>
  </si>
  <si>
    <t>140х25</t>
  </si>
  <si>
    <t>140х30</t>
  </si>
  <si>
    <t>140х36</t>
  </si>
  <si>
    <t>146х5</t>
  </si>
  <si>
    <t>146х6</t>
  </si>
  <si>
    <t>146х14</t>
  </si>
  <si>
    <t>146х16</t>
  </si>
  <si>
    <t>146х18</t>
  </si>
  <si>
    <t>146х20</t>
  </si>
  <si>
    <t>146х22</t>
  </si>
  <si>
    <t>146х25</t>
  </si>
  <si>
    <t>146х30</t>
  </si>
  <si>
    <t>146х36</t>
  </si>
  <si>
    <t>152х6</t>
  </si>
  <si>
    <t>152х7</t>
  </si>
  <si>
    <t>152х8</t>
  </si>
  <si>
    <t>152х12</t>
  </si>
  <si>
    <t>152х14</t>
  </si>
  <si>
    <t>152х16</t>
  </si>
  <si>
    <t>152х18</t>
  </si>
  <si>
    <t>152х20</t>
  </si>
  <si>
    <t>152х25</t>
  </si>
  <si>
    <t>152х30</t>
  </si>
  <si>
    <t>152х36</t>
  </si>
  <si>
    <t>159х4,5</t>
  </si>
  <si>
    <t>159х7</t>
  </si>
  <si>
    <t>159х10</t>
  </si>
  <si>
    <t>159х12</t>
  </si>
  <si>
    <t>159х14</t>
  </si>
  <si>
    <t>159х16</t>
  </si>
  <si>
    <t>159х20</t>
  </si>
  <si>
    <t>159х25</t>
  </si>
  <si>
    <t>159х26</t>
  </si>
  <si>
    <t>159х30</t>
  </si>
  <si>
    <t>159х36</t>
  </si>
  <si>
    <t>159х40</t>
  </si>
  <si>
    <t>168х6</t>
  </si>
  <si>
    <t>168х8</t>
  </si>
  <si>
    <t>168х9</t>
  </si>
  <si>
    <t>168х11</t>
  </si>
  <si>
    <t>168х12</t>
  </si>
  <si>
    <t>168х14</t>
  </si>
  <si>
    <t>168х16</t>
  </si>
  <si>
    <t>168х18</t>
  </si>
  <si>
    <t>168х20</t>
  </si>
  <si>
    <t>168х22</t>
  </si>
  <si>
    <t>168х25</t>
  </si>
  <si>
    <t>168х28</t>
  </si>
  <si>
    <t>168х30</t>
  </si>
  <si>
    <t>168х32</t>
  </si>
  <si>
    <t>168х36</t>
  </si>
  <si>
    <t>168х40</t>
  </si>
  <si>
    <t>168х45</t>
  </si>
  <si>
    <t>180х6</t>
  </si>
  <si>
    <t>180х10</t>
  </si>
  <si>
    <t>180х12</t>
  </si>
  <si>
    <t>180х14</t>
  </si>
  <si>
    <t>180х16</t>
  </si>
  <si>
    <t>180х20</t>
  </si>
  <si>
    <t>180х25</t>
  </si>
  <si>
    <t>180х30</t>
  </si>
  <si>
    <t>180х32</t>
  </si>
  <si>
    <t>180х36</t>
  </si>
  <si>
    <t>180х40</t>
  </si>
  <si>
    <t>180х45</t>
  </si>
  <si>
    <t>194х8</t>
  </si>
  <si>
    <t>194х14</t>
  </si>
  <si>
    <t>194х16</t>
  </si>
  <si>
    <t>194х18</t>
  </si>
  <si>
    <t>194х20</t>
  </si>
  <si>
    <t>194х22</t>
  </si>
  <si>
    <t>194х25</t>
  </si>
  <si>
    <t>194х32</t>
  </si>
  <si>
    <t>194х36</t>
  </si>
  <si>
    <t>194х40</t>
  </si>
  <si>
    <t>203х10</t>
  </si>
  <si>
    <t>203х12</t>
  </si>
  <si>
    <t>203х16</t>
  </si>
  <si>
    <t>203х20</t>
  </si>
  <si>
    <t>203х22</t>
  </si>
  <si>
    <t>203х25</t>
  </si>
  <si>
    <t>203х36</t>
  </si>
  <si>
    <t>203х45</t>
  </si>
  <si>
    <t>219х7</t>
  </si>
  <si>
    <t>219х11</t>
  </si>
  <si>
    <t>219х12</t>
  </si>
  <si>
    <t>219х13</t>
  </si>
  <si>
    <t>219х16</t>
  </si>
  <si>
    <t>219х18</t>
  </si>
  <si>
    <t>219х20</t>
  </si>
  <si>
    <t>219х25</t>
  </si>
  <si>
    <t>219х28</t>
  </si>
  <si>
    <t>219х30</t>
  </si>
  <si>
    <t>219х32</t>
  </si>
  <si>
    <t>219х36</t>
  </si>
  <si>
    <t>219х40</t>
  </si>
  <si>
    <t>219х45</t>
  </si>
  <si>
    <t>219х50</t>
  </si>
  <si>
    <t>219х55</t>
  </si>
  <si>
    <t>245х7</t>
  </si>
  <si>
    <t>245х8</t>
  </si>
  <si>
    <t>245х10</t>
  </si>
  <si>
    <t>245х12</t>
  </si>
  <si>
    <t>245х14</t>
  </si>
  <si>
    <t>245х16</t>
  </si>
  <si>
    <t>245х18</t>
  </si>
  <si>
    <t>245х20</t>
  </si>
  <si>
    <t>245х22</t>
  </si>
  <si>
    <t>245х25</t>
  </si>
  <si>
    <t>245х28</t>
  </si>
  <si>
    <t>245х30</t>
  </si>
  <si>
    <t>245х32</t>
  </si>
  <si>
    <t>245х35</t>
  </si>
  <si>
    <t>245х36</t>
  </si>
  <si>
    <t>245х40</t>
  </si>
  <si>
    <t>245х45</t>
  </si>
  <si>
    <t>245х50</t>
  </si>
  <si>
    <t>273х7</t>
  </si>
  <si>
    <t>273х8</t>
  </si>
  <si>
    <t>273х9</t>
  </si>
  <si>
    <t>273х10</t>
  </si>
  <si>
    <t>273х16</t>
  </si>
  <si>
    <t>273х18</t>
  </si>
  <si>
    <t>273х20</t>
  </si>
  <si>
    <t>273х22</t>
  </si>
  <si>
    <t>273х25</t>
  </si>
  <si>
    <t>273х28</t>
  </si>
  <si>
    <t>273х30</t>
  </si>
  <si>
    <t>273х32</t>
  </si>
  <si>
    <t>273х36</t>
  </si>
  <si>
    <t>273х40</t>
  </si>
  <si>
    <t>273х45</t>
  </si>
  <si>
    <t>273х50</t>
  </si>
  <si>
    <t>299х8</t>
  </si>
  <si>
    <t>299х10</t>
  </si>
  <si>
    <t>299х14</t>
  </si>
  <si>
    <t>299х16</t>
  </si>
  <si>
    <t>299х18</t>
  </si>
  <si>
    <t>299х20</t>
  </si>
  <si>
    <t>299х25</t>
  </si>
  <si>
    <t>299х30</t>
  </si>
  <si>
    <t>299х32</t>
  </si>
  <si>
    <t>299х35</t>
  </si>
  <si>
    <t>299х36</t>
  </si>
  <si>
    <t>299х40</t>
  </si>
  <si>
    <t>299х45</t>
  </si>
  <si>
    <t>299х50</t>
  </si>
  <si>
    <t>325х9</t>
  </si>
  <si>
    <t>325х14</t>
  </si>
  <si>
    <t>325х16</t>
  </si>
  <si>
    <t>325х20</t>
  </si>
  <si>
    <t>325х22</t>
  </si>
  <si>
    <t>325х25</t>
  </si>
  <si>
    <t>325х28</t>
  </si>
  <si>
    <t>325х30</t>
  </si>
  <si>
    <t>325х32</t>
  </si>
  <si>
    <t>325х36</t>
  </si>
  <si>
    <t>325х40</t>
  </si>
  <si>
    <t>325х45</t>
  </si>
  <si>
    <t>325х50</t>
  </si>
  <si>
    <t>351х9</t>
  </si>
  <si>
    <t>351х10</t>
  </si>
  <si>
    <t>351х12</t>
  </si>
  <si>
    <t>351х14</t>
  </si>
  <si>
    <t>351х16</t>
  </si>
  <si>
    <t>351х20</t>
  </si>
  <si>
    <t>351х22</t>
  </si>
  <si>
    <t>351х25</t>
  </si>
  <si>
    <t>351х28</t>
  </si>
  <si>
    <t>351х30</t>
  </si>
  <si>
    <t>351х32</t>
  </si>
  <si>
    <t>351х36</t>
  </si>
  <si>
    <t>351х40</t>
  </si>
  <si>
    <t>351х45</t>
  </si>
  <si>
    <t>351х50</t>
  </si>
  <si>
    <t>377х9</t>
  </si>
  <si>
    <t>377х12</t>
  </si>
  <si>
    <t>377х14</t>
  </si>
  <si>
    <t>377х16</t>
  </si>
  <si>
    <t>377х18</t>
  </si>
  <si>
    <t>377х20</t>
  </si>
  <si>
    <t>377х22</t>
  </si>
  <si>
    <t>377х25</t>
  </si>
  <si>
    <t>377х28</t>
  </si>
  <si>
    <t>377х30</t>
  </si>
  <si>
    <t>377х32</t>
  </si>
  <si>
    <t>377х36</t>
  </si>
  <si>
    <t>377х40</t>
  </si>
  <si>
    <t>377х50</t>
  </si>
  <si>
    <t>402х10</t>
  </si>
  <si>
    <t>402х12</t>
  </si>
  <si>
    <t>402х14</t>
  </si>
  <si>
    <t>402х16</t>
  </si>
  <si>
    <t>402х18</t>
  </si>
  <si>
    <t>402х20</t>
  </si>
  <si>
    <t>402х22</t>
  </si>
  <si>
    <t>402х25</t>
  </si>
  <si>
    <t>402х28</t>
  </si>
  <si>
    <t>402х30</t>
  </si>
  <si>
    <t>402х32</t>
  </si>
  <si>
    <t>402х36</t>
  </si>
  <si>
    <t>426х9</t>
  </si>
  <si>
    <t>426х14</t>
  </si>
  <si>
    <t>426х16</t>
  </si>
  <si>
    <t>426х18</t>
  </si>
  <si>
    <t>426х20</t>
  </si>
  <si>
    <t>426х25</t>
  </si>
  <si>
    <t>426х28</t>
  </si>
  <si>
    <t>426х30</t>
  </si>
  <si>
    <t>426х32</t>
  </si>
  <si>
    <t>426х35</t>
  </si>
  <si>
    <t>426х36</t>
  </si>
  <si>
    <t>426х40</t>
  </si>
  <si>
    <t>426х50</t>
  </si>
  <si>
    <t>450х25</t>
  </si>
  <si>
    <t>508х16</t>
  </si>
  <si>
    <t>508х20</t>
  </si>
  <si>
    <t>508х25</t>
  </si>
  <si>
    <t>508х32</t>
  </si>
  <si>
    <t>508х36</t>
  </si>
  <si>
    <t>530х10</t>
  </si>
  <si>
    <t>530х12</t>
  </si>
  <si>
    <t>530х16</t>
  </si>
  <si>
    <t>530х20</t>
  </si>
  <si>
    <t>530х25</t>
  </si>
  <si>
    <t>М/ст</t>
  </si>
  <si>
    <t>Размер</t>
  </si>
  <si>
    <t>6х1</t>
  </si>
  <si>
    <t>8х1,5</t>
  </si>
  <si>
    <t>10х3</t>
  </si>
  <si>
    <t>12х1</t>
  </si>
  <si>
    <t>12х1,5</t>
  </si>
  <si>
    <t>12х3</t>
  </si>
  <si>
    <t>14х3,5</t>
  </si>
  <si>
    <t>15х2</t>
  </si>
  <si>
    <t>15х2,5</t>
  </si>
  <si>
    <t>15х4</t>
  </si>
  <si>
    <t>16х1</t>
  </si>
  <si>
    <t>16х2</t>
  </si>
  <si>
    <t>16х3</t>
  </si>
  <si>
    <t>16х3,5</t>
  </si>
  <si>
    <t>16х4</t>
  </si>
  <si>
    <t>16х5</t>
  </si>
  <si>
    <t>18х3,5</t>
  </si>
  <si>
    <t>18х5</t>
  </si>
  <si>
    <t>20х1,5</t>
  </si>
  <si>
    <t>20х3</t>
  </si>
  <si>
    <t>20х3,5</t>
  </si>
  <si>
    <t>20х4</t>
  </si>
  <si>
    <t>20х5</t>
  </si>
  <si>
    <t>21х3</t>
  </si>
  <si>
    <t>21х4</t>
  </si>
  <si>
    <t>22х1</t>
  </si>
  <si>
    <t>22х3,5</t>
  </si>
  <si>
    <t>22х5</t>
  </si>
  <si>
    <t>22х6</t>
  </si>
  <si>
    <t>25х1</t>
  </si>
  <si>
    <t>25х2</t>
  </si>
  <si>
    <t>26х2</t>
  </si>
  <si>
    <t>27х2</t>
  </si>
  <si>
    <t>30х1</t>
  </si>
  <si>
    <t>30х1,5</t>
  </si>
  <si>
    <t>30х2</t>
  </si>
  <si>
    <t>32х1</t>
  </si>
  <si>
    <t>32х1,5</t>
  </si>
  <si>
    <t>34х2</t>
  </si>
  <si>
    <t>35х2</t>
  </si>
  <si>
    <t>40х1,5</t>
  </si>
  <si>
    <t>40х2</t>
  </si>
  <si>
    <t>45х2</t>
  </si>
  <si>
    <t>48х1,5</t>
  </si>
  <si>
    <t>48х2</t>
  </si>
  <si>
    <t>50х2</t>
  </si>
  <si>
    <t>24х3</t>
  </si>
  <si>
    <t>24х4</t>
  </si>
  <si>
    <t>25х3,5</t>
  </si>
  <si>
    <t>25х4,5</t>
  </si>
  <si>
    <t>25х6</t>
  </si>
  <si>
    <t>26х2,5</t>
  </si>
  <si>
    <t>27х2,5</t>
  </si>
  <si>
    <t xml:space="preserve">27х3 </t>
  </si>
  <si>
    <t>27х3,2</t>
  </si>
  <si>
    <t>27х3,5</t>
  </si>
  <si>
    <t>27х4</t>
  </si>
  <si>
    <t>27х5</t>
  </si>
  <si>
    <t>28х2,5</t>
  </si>
  <si>
    <t>28х5</t>
  </si>
  <si>
    <t>28х6</t>
  </si>
  <si>
    <t>30х2,5</t>
  </si>
  <si>
    <t>30х3</t>
  </si>
  <si>
    <t>30х3,5</t>
  </si>
  <si>
    <t>30х4</t>
  </si>
  <si>
    <t>30х6</t>
  </si>
  <si>
    <t>32х4,5</t>
  </si>
  <si>
    <t>32х8</t>
  </si>
  <si>
    <t>34х2,5</t>
  </si>
  <si>
    <t>34х3</t>
  </si>
  <si>
    <t>34х3,5</t>
  </si>
  <si>
    <t>34х4</t>
  </si>
  <si>
    <t>34х5</t>
  </si>
  <si>
    <t>34х6</t>
  </si>
  <si>
    <t>34х7</t>
  </si>
  <si>
    <t>35х3</t>
  </si>
  <si>
    <t>35х4</t>
  </si>
  <si>
    <t>35х6</t>
  </si>
  <si>
    <t>36х4</t>
  </si>
  <si>
    <t>36х5</t>
  </si>
  <si>
    <t>36х6</t>
  </si>
  <si>
    <t>36х8</t>
  </si>
  <si>
    <t>38х7</t>
  </si>
  <si>
    <t>38х8</t>
  </si>
  <si>
    <t>40х2,5</t>
  </si>
  <si>
    <t>40х5</t>
  </si>
  <si>
    <t>48х2,5</t>
  </si>
  <si>
    <t>48х7</t>
  </si>
  <si>
    <t>48х9</t>
  </si>
  <si>
    <t>50х2,5</t>
  </si>
  <si>
    <t>50х3</t>
  </si>
  <si>
    <t>50х3,5</t>
  </si>
  <si>
    <t>51х2,5</t>
  </si>
  <si>
    <t>51х3</t>
  </si>
  <si>
    <t>54х5</t>
  </si>
  <si>
    <t>56х3</t>
  </si>
  <si>
    <t>57х2,5</t>
  </si>
  <si>
    <t>65х3</t>
  </si>
  <si>
    <t>70х3</t>
  </si>
  <si>
    <t xml:space="preserve"> НАЛИЧИЕ МЕТАЛЛОПРОДУКЦИИ</t>
  </si>
  <si>
    <t>ш 41 г\к</t>
  </si>
  <si>
    <t>ш 32 г\к</t>
  </si>
  <si>
    <t>ш 17 г\к</t>
  </si>
  <si>
    <t>60х3,2</t>
  </si>
  <si>
    <t>63,5х10</t>
  </si>
  <si>
    <t>63,5х14</t>
  </si>
  <si>
    <t>73х9</t>
  </si>
  <si>
    <t>73х16</t>
  </si>
  <si>
    <t>76х9</t>
  </si>
  <si>
    <t>102х4</t>
  </si>
  <si>
    <t>102х14</t>
  </si>
  <si>
    <t>102х16</t>
  </si>
  <si>
    <t>102х18</t>
  </si>
  <si>
    <t>133х14</t>
  </si>
  <si>
    <t>146х10</t>
  </si>
  <si>
    <t>146х12</t>
  </si>
  <si>
    <t>152х5</t>
  </si>
  <si>
    <t>152х9</t>
  </si>
  <si>
    <t>152х10</t>
  </si>
  <si>
    <t>159х9</t>
  </si>
  <si>
    <t>159х32</t>
  </si>
  <si>
    <t>194х6</t>
  </si>
  <si>
    <t>194х9</t>
  </si>
  <si>
    <t>194х12</t>
  </si>
  <si>
    <t>203х8</t>
  </si>
  <si>
    <t>219х35</t>
  </si>
  <si>
    <t>299х12</t>
  </si>
  <si>
    <t>15х2,8</t>
  </si>
  <si>
    <t>17х2</t>
  </si>
  <si>
    <t>24х2</t>
  </si>
  <si>
    <t>57х9</t>
  </si>
  <si>
    <t>16х1,4</t>
  </si>
  <si>
    <t>245х60</t>
  </si>
  <si>
    <t>273х35</t>
  </si>
  <si>
    <t>273х60</t>
  </si>
  <si>
    <t>299х60</t>
  </si>
  <si>
    <t>299х70</t>
  </si>
  <si>
    <t>325х60</t>
  </si>
  <si>
    <t>325х70</t>
  </si>
  <si>
    <t>377х45</t>
  </si>
  <si>
    <t>377х60</t>
  </si>
  <si>
    <t>377х70</t>
  </si>
  <si>
    <t>402х9</t>
  </si>
  <si>
    <t>402х40</t>
  </si>
  <si>
    <t>402х45</t>
  </si>
  <si>
    <t>402х50</t>
  </si>
  <si>
    <t>426х45</t>
  </si>
  <si>
    <t>450х20</t>
  </si>
  <si>
    <t>508х30</t>
  </si>
  <si>
    <t>530х30</t>
  </si>
  <si>
    <t>13х2,5</t>
  </si>
  <si>
    <t>13х3,5</t>
  </si>
  <si>
    <t>15х1</t>
  </si>
  <si>
    <t>17х1,5</t>
  </si>
  <si>
    <t>152х28</t>
  </si>
  <si>
    <t>21х1,5</t>
  </si>
  <si>
    <t>21х2</t>
  </si>
  <si>
    <t>21х2,5</t>
  </si>
  <si>
    <t>351х60</t>
  </si>
  <si>
    <t>508х10</t>
  </si>
  <si>
    <t>508х12</t>
  </si>
  <si>
    <t>21х3,5</t>
  </si>
  <si>
    <t>26х3</t>
  </si>
  <si>
    <t>108х3</t>
  </si>
  <si>
    <t>130х7</t>
  </si>
  <si>
    <t>10х0,4</t>
  </si>
  <si>
    <t>35м</t>
  </si>
  <si>
    <t>45х1,5</t>
  </si>
  <si>
    <t>146х7</t>
  </si>
  <si>
    <t>12х0,9</t>
  </si>
  <si>
    <t>10х0,8</t>
  </si>
  <si>
    <t>133Х6</t>
  </si>
  <si>
    <t>299х65</t>
  </si>
  <si>
    <t>299х80</t>
  </si>
  <si>
    <t>325х26</t>
  </si>
  <si>
    <t>351х70</t>
  </si>
  <si>
    <t>377х15</t>
  </si>
  <si>
    <t>406х12</t>
  </si>
  <si>
    <t>406х18</t>
  </si>
  <si>
    <t>406х45</t>
  </si>
  <si>
    <t>426х60</t>
  </si>
  <si>
    <t>450х30</t>
  </si>
  <si>
    <t>450х36</t>
  </si>
  <si>
    <t>450х40</t>
  </si>
  <si>
    <t>450х50</t>
  </si>
  <si>
    <t>450х60</t>
  </si>
  <si>
    <t>457х8</t>
  </si>
  <si>
    <t>457х9</t>
  </si>
  <si>
    <t>457х10</t>
  </si>
  <si>
    <t>457х12</t>
  </si>
  <si>
    <t>508х40</t>
  </si>
  <si>
    <t>56х8</t>
  </si>
  <si>
    <t>38х3,2</t>
  </si>
  <si>
    <t>402х60</t>
  </si>
  <si>
    <t>406х10</t>
  </si>
  <si>
    <t>406х16</t>
  </si>
  <si>
    <t>406х20</t>
  </si>
  <si>
    <t>406х22</t>
  </si>
  <si>
    <t>406х25</t>
  </si>
  <si>
    <t>406х30</t>
  </si>
  <si>
    <t>406х35</t>
  </si>
  <si>
    <t>530х50</t>
  </si>
  <si>
    <t>19х2,5</t>
  </si>
  <si>
    <t>25х7</t>
  </si>
  <si>
    <t>34х1</t>
  </si>
  <si>
    <t>188м</t>
  </si>
  <si>
    <t>273х70</t>
  </si>
  <si>
    <t>508х50</t>
  </si>
  <si>
    <t>508х60</t>
  </si>
  <si>
    <t>530х9</t>
  </si>
  <si>
    <t>530х45</t>
  </si>
  <si>
    <t>530х60</t>
  </si>
  <si>
    <t>530х100</t>
  </si>
  <si>
    <t xml:space="preserve">57х3,5 </t>
  </si>
  <si>
    <t>48,3х4,5</t>
  </si>
  <si>
    <t>48,3х5</t>
  </si>
  <si>
    <t>76х7</t>
  </si>
  <si>
    <t>40х</t>
  </si>
  <si>
    <t>15хм</t>
  </si>
  <si>
    <t>508х35</t>
  </si>
  <si>
    <t>Склад, тн</t>
  </si>
  <si>
    <t>325х38</t>
  </si>
  <si>
    <t>450х10</t>
  </si>
  <si>
    <t>450х12</t>
  </si>
  <si>
    <t>450х14</t>
  </si>
  <si>
    <t>450х16</t>
  </si>
  <si>
    <t>457х14</t>
  </si>
  <si>
    <t>457х16</t>
  </si>
  <si>
    <t>457х20</t>
  </si>
  <si>
    <t>457х25</t>
  </si>
  <si>
    <t>457х30</t>
  </si>
  <si>
    <t>457х40</t>
  </si>
  <si>
    <t>457х50</t>
  </si>
  <si>
    <t>508х9</t>
  </si>
  <si>
    <t>508х14</t>
  </si>
  <si>
    <t>530х14</t>
  </si>
  <si>
    <t>630х10</t>
  </si>
  <si>
    <t>630х25</t>
  </si>
  <si>
    <t>273х14 коротк</t>
  </si>
  <si>
    <t>NI 8%</t>
  </si>
  <si>
    <t>42х3,2</t>
  </si>
  <si>
    <t>159х17</t>
  </si>
  <si>
    <t>168х13</t>
  </si>
  <si>
    <t>219х22</t>
  </si>
  <si>
    <t>219х24</t>
  </si>
  <si>
    <t>325х24</t>
  </si>
  <si>
    <t>530х36</t>
  </si>
  <si>
    <t>19х1,5</t>
  </si>
  <si>
    <t>65м</t>
  </si>
  <si>
    <t>20м</t>
  </si>
  <si>
    <t>64м</t>
  </si>
  <si>
    <t>8м</t>
  </si>
  <si>
    <t>20</t>
  </si>
  <si>
    <t>ТУ 14-3р-1128-2007</t>
  </si>
  <si>
    <t>Распродажа</t>
  </si>
  <si>
    <t>ТУ 14-3р-1430-2007</t>
  </si>
  <si>
    <t>114х11</t>
  </si>
  <si>
    <t>140х5,5</t>
  </si>
  <si>
    <t>ТУ 14-3р-50-2001</t>
  </si>
  <si>
    <t>630х12</t>
  </si>
  <si>
    <t>630х16</t>
  </si>
  <si>
    <t>630х20</t>
  </si>
  <si>
    <t>Лежалая!!!</t>
  </si>
  <si>
    <t>Распродажа порезана по 3м</t>
  </si>
  <si>
    <t xml:space="preserve">35х5 </t>
  </si>
  <si>
    <t>351х18</t>
  </si>
  <si>
    <t>508х70</t>
  </si>
  <si>
    <t>68х3</t>
  </si>
  <si>
    <t>203х30</t>
  </si>
  <si>
    <t>273х80</t>
  </si>
  <si>
    <t>325х80</t>
  </si>
  <si>
    <t>351х80</t>
  </si>
  <si>
    <t>377х80</t>
  </si>
  <si>
    <t>402х70</t>
  </si>
  <si>
    <t>402х80</t>
  </si>
  <si>
    <t>426х70</t>
  </si>
  <si>
    <t>426х80</t>
  </si>
  <si>
    <t>530х35</t>
  </si>
  <si>
    <t>13х2</t>
  </si>
  <si>
    <t>т. +7(922)210-51-35</t>
  </si>
  <si>
    <t>ooogelios14@yandex.ru</t>
  </si>
  <si>
    <t>www.usimet.ru</t>
  </si>
  <si>
    <t>4х1х1000</t>
  </si>
  <si>
    <t>133Х4</t>
  </si>
  <si>
    <t>9940-81 РФ</t>
  </si>
  <si>
    <t>2х0,25</t>
  </si>
  <si>
    <t>2м</t>
  </si>
  <si>
    <t>43м</t>
  </si>
  <si>
    <t>320м</t>
  </si>
  <si>
    <t>распродажа</t>
  </si>
  <si>
    <t>219х5</t>
  </si>
  <si>
    <t>ш 19 калибр. Н11</t>
  </si>
  <si>
    <t>ш 14 калибр. Н11</t>
  </si>
  <si>
    <t>3шт</t>
  </si>
  <si>
    <t>1шт</t>
  </si>
  <si>
    <t>6шт</t>
  </si>
  <si>
    <t>4шт</t>
  </si>
  <si>
    <t>20х2х1000</t>
  </si>
  <si>
    <t>1,8пх0,5</t>
  </si>
  <si>
    <t>60х2,5</t>
  </si>
  <si>
    <t xml:space="preserve">16х2 </t>
  </si>
  <si>
    <t>14162-79 РФ</t>
  </si>
  <si>
    <t>19277-73 РФ</t>
  </si>
  <si>
    <t xml:space="preserve"> 19277-73 РФ</t>
  </si>
  <si>
    <t>ТУ 14-3р-197-2001</t>
  </si>
  <si>
    <t>56х2,5</t>
  </si>
  <si>
    <t>56х4,5</t>
  </si>
  <si>
    <t>51х1</t>
  </si>
  <si>
    <t>52м</t>
  </si>
  <si>
    <t>34х3,5-4</t>
  </si>
  <si>
    <t>34х2-2,2</t>
  </si>
  <si>
    <t>89х25</t>
  </si>
  <si>
    <t>102х25</t>
  </si>
  <si>
    <t>127х27</t>
  </si>
  <si>
    <t>127х36</t>
  </si>
  <si>
    <t>140х35</t>
  </si>
  <si>
    <t>146х35</t>
  </si>
  <si>
    <t>159х11</t>
  </si>
  <si>
    <t>159х35</t>
  </si>
  <si>
    <t>168х35</t>
  </si>
  <si>
    <t>180х35</t>
  </si>
  <si>
    <t>194х35</t>
  </si>
  <si>
    <t>203х35</t>
  </si>
  <si>
    <t>245х70</t>
  </si>
  <si>
    <t>377х8</t>
  </si>
  <si>
    <t>406х36</t>
  </si>
  <si>
    <t>406х40</t>
  </si>
  <si>
    <t>406х50</t>
  </si>
  <si>
    <t>406х60</t>
  </si>
  <si>
    <t>450х35</t>
  </si>
  <si>
    <t>500х12</t>
  </si>
  <si>
    <t>17г1с</t>
  </si>
  <si>
    <t>530х32</t>
  </si>
  <si>
    <t>530х70</t>
  </si>
  <si>
    <t>530х80</t>
  </si>
  <si>
    <t>11х2</t>
  </si>
  <si>
    <t>900м</t>
  </si>
  <si>
    <t>159х4</t>
  </si>
  <si>
    <t xml:space="preserve"> 20х4</t>
  </si>
  <si>
    <t xml:space="preserve">     Трубы горячекатаные ГОСТ 8732-78В/32528-2013</t>
  </si>
  <si>
    <t>Примечания</t>
  </si>
  <si>
    <t>35</t>
  </si>
  <si>
    <t>140х4,5</t>
  </si>
  <si>
    <t>152х22</t>
  </si>
  <si>
    <t>159х28</t>
  </si>
  <si>
    <t>203х32</t>
  </si>
  <si>
    <t>203х40</t>
  </si>
  <si>
    <t>351х35</t>
  </si>
  <si>
    <t>Трубы холоднодеформированные тонкостенные ГОСТ 8734-75В/ Р 54159-2010</t>
  </si>
  <si>
    <t>13х3</t>
  </si>
  <si>
    <t>Трубы холоднодеформированные тянутые ГОСТ 8734-75В/ 32678-2014</t>
  </si>
  <si>
    <t>Распродажа порезана по 1,5 м</t>
  </si>
  <si>
    <t>65х3,5</t>
  </si>
  <si>
    <r>
      <t xml:space="preserve">Цена  </t>
    </r>
    <r>
      <rPr>
        <b/>
        <i/>
        <sz val="8"/>
        <color rgb="FFFF0000"/>
        <rFont val="Arial"/>
        <family val="2"/>
      </rPr>
      <t>ОПТ</t>
    </r>
    <r>
      <rPr>
        <b/>
        <i/>
        <sz val="8"/>
        <rFont val="Arial"/>
        <family val="2"/>
        <charset val="204"/>
      </rPr>
      <t>, руб./тн с НДС</t>
    </r>
  </si>
  <si>
    <t>ф140</t>
  </si>
  <si>
    <t>20х</t>
  </si>
  <si>
    <t>108х15</t>
  </si>
  <si>
    <t>530х40</t>
  </si>
  <si>
    <t>AISI 316Ti/10х17н13м2т</t>
  </si>
  <si>
    <t>17Г1С</t>
  </si>
  <si>
    <t>6х1,5</t>
  </si>
  <si>
    <t>6х2</t>
  </si>
  <si>
    <t>205м</t>
  </si>
  <si>
    <t>465х16</t>
  </si>
  <si>
    <t>60м</t>
  </si>
  <si>
    <t>20А</t>
  </si>
  <si>
    <t>9941-81/ 9941-2022 РФ</t>
  </si>
  <si>
    <t>9941-81/9941-2022</t>
  </si>
  <si>
    <t>9941-81/9941-2022 РФ</t>
  </si>
  <si>
    <t>25х2х6000</t>
  </si>
  <si>
    <t>140х18</t>
  </si>
  <si>
    <t>140х28</t>
  </si>
  <si>
    <t>140х32</t>
  </si>
  <si>
    <t>140х40</t>
  </si>
  <si>
    <t>152х40</t>
  </si>
  <si>
    <t>30х7</t>
  </si>
  <si>
    <t>34х8</t>
  </si>
  <si>
    <t>35х8</t>
  </si>
  <si>
    <t>42х10</t>
  </si>
  <si>
    <t>63,5х9</t>
  </si>
  <si>
    <t>180х18</t>
  </si>
  <si>
    <t>203х14</t>
  </si>
  <si>
    <t>216-219х8,5</t>
  </si>
  <si>
    <t>216-219х8-10</t>
  </si>
  <si>
    <t>45</t>
  </si>
  <si>
    <t>325х17</t>
  </si>
  <si>
    <t>38х9</t>
  </si>
  <si>
    <t>325х11</t>
  </si>
  <si>
    <t>133х18</t>
  </si>
  <si>
    <t>146х28</t>
  </si>
  <si>
    <t>146х32</t>
  </si>
  <si>
    <t>152х32</t>
  </si>
  <si>
    <t>159х18</t>
  </si>
  <si>
    <t>180х22</t>
  </si>
  <si>
    <t>180х24</t>
  </si>
  <si>
    <t>194х45</t>
  </si>
  <si>
    <t>203х18</t>
  </si>
  <si>
    <t>203х55</t>
  </si>
  <si>
    <t xml:space="preserve">9941-81/ 9941-2022 </t>
  </si>
  <si>
    <t xml:space="preserve">9941-81/9941-2022 </t>
  </si>
  <si>
    <t>219х4</t>
  </si>
  <si>
    <t>108х22</t>
  </si>
  <si>
    <t>108х32</t>
  </si>
  <si>
    <t>159х22</t>
  </si>
  <si>
    <t>194х28</t>
  </si>
  <si>
    <t>194х30</t>
  </si>
  <si>
    <t>203х50</t>
  </si>
  <si>
    <t>160х4,5</t>
  </si>
  <si>
    <t>170х5</t>
  </si>
  <si>
    <t>9941-81/ 9941-2022</t>
  </si>
  <si>
    <t>26х6</t>
  </si>
  <si>
    <t>95м</t>
  </si>
  <si>
    <t>30х8</t>
  </si>
  <si>
    <t>32х7</t>
  </si>
  <si>
    <t>180х16 короткие</t>
  </si>
  <si>
    <t>24х1</t>
  </si>
  <si>
    <t>83х6 ЛЕЖ</t>
  </si>
  <si>
    <t>108х5,5 ЛЕЖ</t>
  </si>
  <si>
    <t>114х5 ЛЕЖ</t>
  </si>
  <si>
    <t>114х6 ЛЕЖ</t>
  </si>
  <si>
    <t>114х7 ЛЕЖ</t>
  </si>
  <si>
    <t>114х10 ЛЕЖ</t>
  </si>
  <si>
    <t>127х32</t>
  </si>
  <si>
    <t>140х6,5 ЛЕЖ</t>
  </si>
  <si>
    <t>159х4,5 ЛЕЖ</t>
  </si>
  <si>
    <t>159х5 ЛЕЖ</t>
  </si>
  <si>
    <t>159х6 ЛЕЖ</t>
  </si>
  <si>
    <t>219х8 ЛЕЖ</t>
  </si>
  <si>
    <t>273х14 ЛЕЖ</t>
  </si>
  <si>
    <t>299х22</t>
  </si>
  <si>
    <t>325х8 ЛЕЖ</t>
  </si>
  <si>
    <t>325х10 ЛЕЖ</t>
  </si>
  <si>
    <t>325х18 ЛЕЖ</t>
  </si>
  <si>
    <t>377х20 ЛЕЖ</t>
  </si>
  <si>
    <t>550х30</t>
  </si>
  <si>
    <t>ООО «ГЕЛИОС»</t>
  </si>
  <si>
    <t>ГОСТ/ТУ</t>
  </si>
  <si>
    <r>
      <t xml:space="preserve">  цена </t>
    </r>
    <r>
      <rPr>
        <b/>
        <i/>
        <sz val="10"/>
        <color rgb="FFFF0000"/>
        <rFont val="Arial"/>
        <family val="2"/>
      </rPr>
      <t>ОПТ</t>
    </r>
    <r>
      <rPr>
        <b/>
        <i/>
        <sz val="10"/>
        <rFont val="Arial"/>
        <family val="2"/>
        <charset val="204"/>
      </rPr>
      <t xml:space="preserve"> (от 1тн), с НДС</t>
    </r>
  </si>
  <si>
    <t>36х7,5</t>
  </si>
  <si>
    <t>договорная</t>
  </si>
  <si>
    <t>40х4,5</t>
  </si>
  <si>
    <t>45х4,5</t>
  </si>
  <si>
    <t>54х3</t>
  </si>
  <si>
    <t>70х3,5</t>
  </si>
  <si>
    <t>110х4</t>
  </si>
  <si>
    <t xml:space="preserve"> 20х3,5</t>
  </si>
  <si>
    <t>159х3</t>
  </si>
  <si>
    <t>159х3,5</t>
  </si>
  <si>
    <t>10</t>
  </si>
  <si>
    <t>60х16</t>
  </si>
  <si>
    <t>73х11</t>
  </si>
  <si>
    <t>114х13 ЛЕЖ</t>
  </si>
  <si>
    <t>121х32</t>
  </si>
  <si>
    <t>133х6 ЛЕЖ</t>
  </si>
  <si>
    <t>194х50</t>
  </si>
  <si>
    <t>325х35</t>
  </si>
  <si>
    <t>457х15</t>
  </si>
  <si>
    <t>457х60</t>
  </si>
  <si>
    <t>465х40</t>
  </si>
  <si>
    <t>Китай</t>
  </si>
  <si>
    <t>114х26</t>
  </si>
  <si>
    <t>51х2</t>
  </si>
  <si>
    <t>32х5,5</t>
  </si>
  <si>
    <t>метр</t>
  </si>
  <si>
    <t>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</si>
</sst>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0.000"/>
    <numFmt numFmtId="166" formatCode="0.0"/>
    <numFmt numFmtId="167" formatCode="#,##0.000"/>
  </numFmts>
  <fonts count="36">
    <font>
      <sz val="10"/>
      <name val="Arial"/>
    </font>
    <font>
      <sz val="10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sz val="12"/>
      <color rgb="FFFF0000"/>
      <name val="Arial Cyr"/>
      <charset val="204"/>
    </font>
    <font>
      <sz val="10"/>
      <color rgb="FFFF0000"/>
      <name val="Arial"/>
      <family val="2"/>
      <charset val="204"/>
    </font>
    <font>
      <b/>
      <i/>
      <sz val="12"/>
      <name val="Arial"/>
      <family val="2"/>
      <charset val="204"/>
    </font>
    <font>
      <b/>
      <sz val="9"/>
      <name val="Times New Roman"/>
      <family val="1"/>
    </font>
    <font>
      <b/>
      <sz val="9"/>
      <name val="Times New Roman"/>
      <family val="1"/>
      <charset val="204"/>
    </font>
    <font>
      <b/>
      <sz val="9"/>
      <color rgb="FF0033CC"/>
      <name val="Times New Roman"/>
      <family val="1"/>
    </font>
    <font>
      <b/>
      <sz val="9"/>
      <color rgb="FFFF0000"/>
      <name val="Times New Roman"/>
      <family val="1"/>
      <charset val="204"/>
    </font>
    <font>
      <b/>
      <sz val="10"/>
      <name val="Arial Cyr"/>
      <charset val="204"/>
    </font>
    <font>
      <u/>
      <sz val="14"/>
      <color theme="10"/>
      <name val="Arial"/>
      <family val="2"/>
      <charset val="204"/>
    </font>
    <font>
      <u/>
      <sz val="12"/>
      <color theme="10"/>
      <name val="Arial"/>
      <family val="2"/>
      <charset val="204"/>
    </font>
    <font>
      <sz val="10"/>
      <color theme="1"/>
      <name val="Arial"/>
      <family val="2"/>
    </font>
    <font>
      <b/>
      <sz val="9"/>
      <color rgb="FF006600"/>
      <name val="Times New Roman"/>
      <family val="1"/>
    </font>
    <font>
      <b/>
      <sz val="9"/>
      <color rgb="FF006600"/>
      <name val="Times New Roman"/>
      <family val="1"/>
      <charset val="204"/>
    </font>
    <font>
      <b/>
      <i/>
      <sz val="10"/>
      <color rgb="FFFF0000"/>
      <name val="Arial"/>
      <family val="2"/>
    </font>
    <font>
      <b/>
      <sz val="14"/>
      <color rgb="FFFF0000"/>
      <name val="Arial"/>
      <family val="2"/>
      <charset val="204"/>
    </font>
    <font>
      <b/>
      <i/>
      <sz val="8"/>
      <name val="Arial"/>
      <family val="2"/>
      <charset val="204"/>
    </font>
    <font>
      <sz val="10"/>
      <color indexed="10"/>
      <name val="Arial Cyr"/>
      <charset val="204"/>
    </font>
    <font>
      <b/>
      <i/>
      <sz val="8"/>
      <color rgb="FFFF0000"/>
      <name val="Arial"/>
      <family val="2"/>
    </font>
    <font>
      <b/>
      <sz val="9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1" fontId="5" fillId="0" borderId="0" xfId="0" applyNumberFormat="1" applyFont="1"/>
    <xf numFmtId="1" fontId="0" fillId="0" borderId="0" xfId="0" applyNumberFormat="1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1" fillId="2" borderId="0" xfId="0" applyFont="1" applyFill="1"/>
    <xf numFmtId="165" fontId="2" fillId="2" borderId="1" xfId="0" applyNumberFormat="1" applyFont="1" applyFill="1" applyBorder="1" applyAlignment="1">
      <alignment horizontal="center" vertical="center" wrapText="1"/>
    </xf>
    <xf numFmtId="3" fontId="11" fillId="0" borderId="0" xfId="3" applyNumberFormat="1" applyAlignment="1" applyProtection="1"/>
    <xf numFmtId="3" fontId="2" fillId="2" borderId="1" xfId="1" applyNumberFormat="1" applyFont="1" applyFill="1" applyBorder="1" applyAlignment="1">
      <alignment horizontal="center" vertical="center"/>
    </xf>
    <xf numFmtId="3" fontId="2" fillId="2" borderId="1" xfId="2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3" fontId="0" fillId="0" borderId="0" xfId="0" applyNumberFormat="1"/>
    <xf numFmtId="3" fontId="17" fillId="2" borderId="1" xfId="2" applyNumberFormat="1" applyFont="1" applyFill="1" applyBorder="1" applyAlignment="1">
      <alignment horizontal="center"/>
    </xf>
    <xf numFmtId="0" fontId="18" fillId="0" borderId="0" xfId="0" applyFont="1"/>
    <xf numFmtId="0" fontId="20" fillId="0" borderId="1" xfId="0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3" fontId="26" fillId="0" borderId="0" xfId="3" applyNumberFormat="1" applyFont="1" applyAlignment="1" applyProtection="1"/>
    <xf numFmtId="3" fontId="2" fillId="3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27" fillId="0" borderId="0" xfId="0" applyFont="1"/>
    <xf numFmtId="14" fontId="9" fillId="0" borderId="0" xfId="0" applyNumberFormat="1" applyFont="1"/>
    <xf numFmtId="165" fontId="12" fillId="0" borderId="1" xfId="0" applyNumberFormat="1" applyFont="1" applyBorder="1" applyAlignment="1">
      <alignment horizontal="center"/>
    </xf>
    <xf numFmtId="0" fontId="17" fillId="2" borderId="1" xfId="1" applyFont="1" applyFill="1" applyBorder="1" applyAlignment="1">
      <alignment horizontal="center"/>
    </xf>
    <xf numFmtId="3" fontId="17" fillId="2" borderId="1" xfId="1" applyNumberFormat="1" applyFont="1" applyFill="1" applyBorder="1" applyAlignment="1">
      <alignment horizontal="center"/>
    </xf>
    <xf numFmtId="3" fontId="17" fillId="2" borderId="5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165" fontId="28" fillId="0" borderId="1" xfId="0" applyNumberFormat="1" applyFont="1" applyBorder="1" applyAlignment="1">
      <alignment horizontal="center"/>
    </xf>
    <xf numFmtId="3" fontId="23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center" vertical="center"/>
    </xf>
    <xf numFmtId="167" fontId="29" fillId="0" borderId="1" xfId="0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" vertical="center" wrapText="1"/>
    </xf>
    <xf numFmtId="0" fontId="19" fillId="0" borderId="0" xfId="0" applyFont="1"/>
    <xf numFmtId="0" fontId="32" fillId="0" borderId="7" xfId="0" applyFont="1" applyBorder="1" applyAlignment="1">
      <alignment horizontal="center" vertical="center"/>
    </xf>
    <xf numFmtId="3" fontId="32" fillId="0" borderId="7" xfId="0" applyNumberFormat="1" applyFont="1" applyBorder="1" applyAlignment="1">
      <alignment horizontal="center" vertical="center" wrapText="1"/>
    </xf>
    <xf numFmtId="0" fontId="33" fillId="0" borderId="0" xfId="0" applyFont="1"/>
    <xf numFmtId="0" fontId="4" fillId="0" borderId="0" xfId="0" applyFont="1"/>
    <xf numFmtId="0" fontId="21" fillId="0" borderId="0" xfId="0" applyFont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0" borderId="0" xfId="0" applyFont="1"/>
    <xf numFmtId="0" fontId="16" fillId="2" borderId="0" xfId="0" applyFont="1" applyFill="1"/>
    <xf numFmtId="14" fontId="31" fillId="2" borderId="0" xfId="0" applyNumberFormat="1" applyFont="1" applyFill="1"/>
    <xf numFmtId="0" fontId="2" fillId="4" borderId="1" xfId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/>
    </xf>
    <xf numFmtId="3" fontId="2" fillId="4" borderId="1" xfId="2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3" fontId="2" fillId="4" borderId="1" xfId="1" applyNumberFormat="1" applyFont="1" applyFill="1" applyBorder="1" applyAlignment="1">
      <alignment horizontal="center"/>
    </xf>
    <xf numFmtId="0" fontId="2" fillId="4" borderId="1" xfId="1" applyFont="1" applyFill="1" applyBorder="1"/>
    <xf numFmtId="0" fontId="1" fillId="4" borderId="0" xfId="0" applyFont="1" applyFill="1"/>
    <xf numFmtId="165" fontId="13" fillId="4" borderId="0" xfId="0" applyNumberFormat="1" applyFont="1" applyFill="1"/>
    <xf numFmtId="1" fontId="0" fillId="4" borderId="0" xfId="0" applyNumberFormat="1" applyFill="1"/>
    <xf numFmtId="3" fontId="17" fillId="4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/>
    <xf numFmtId="165" fontId="13" fillId="4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/>
    <xf numFmtId="0" fontId="20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5" fontId="28" fillId="0" borderId="4" xfId="0" applyNumberFormat="1" applyFont="1" applyBorder="1" applyAlignment="1">
      <alignment horizontal="center" vertical="center"/>
    </xf>
    <xf numFmtId="3" fontId="21" fillId="0" borderId="4" xfId="0" applyNumberFormat="1" applyFont="1" applyBorder="1" applyAlignment="1">
      <alignment horizontal="center"/>
    </xf>
    <xf numFmtId="3" fontId="25" fillId="0" borderId="0" xfId="3" applyNumberFormat="1" applyFont="1" applyAlignment="1" applyProtection="1"/>
    <xf numFmtId="4" fontId="21" fillId="0" borderId="0" xfId="0" applyNumberFormat="1" applyFont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3" fontId="23" fillId="0" borderId="1" xfId="0" applyNumberFormat="1" applyFont="1" applyBorder="1" applyAlignment="1">
      <alignment horizontal="center"/>
    </xf>
    <xf numFmtId="0" fontId="20" fillId="7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167" fontId="35" fillId="0" borderId="3" xfId="0" applyNumberFormat="1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 vertical="center"/>
    </xf>
    <xf numFmtId="4" fontId="35" fillId="0" borderId="3" xfId="0" applyNumberFormat="1" applyFont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/>
    </xf>
    <xf numFmtId="4" fontId="21" fillId="0" borderId="1" xfId="0" applyNumberFormat="1" applyFont="1" applyBorder="1" applyAlignment="1">
      <alignment horizontal="center"/>
    </xf>
    <xf numFmtId="4" fontId="23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" fontId="35" fillId="0" borderId="1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2" fillId="3" borderId="5" xfId="0" applyNumberFormat="1" applyFont="1" applyFill="1" applyBorder="1" applyAlignment="1">
      <alignment horizontal="center"/>
    </xf>
    <xf numFmtId="3" fontId="2" fillId="3" borderId="5" xfId="0" applyNumberFormat="1" applyFont="1" applyFill="1" applyBorder="1" applyAlignment="1">
      <alignment horizontal="center"/>
    </xf>
    <xf numFmtId="0" fontId="20" fillId="7" borderId="4" xfId="0" applyFont="1" applyFill="1" applyBorder="1" applyAlignment="1">
      <alignment horizontal="center" vertical="center"/>
    </xf>
    <xf numFmtId="4" fontId="29" fillId="0" borderId="4" xfId="0" applyNumberFormat="1" applyFont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8" fillId="0" borderId="0" xfId="0" applyNumberFormat="1" applyFont="1"/>
    <xf numFmtId="1" fontId="25" fillId="0" borderId="0" xfId="3" applyNumberFormat="1" applyFont="1" applyAlignment="1" applyProtection="1"/>
    <xf numFmtId="3" fontId="25" fillId="0" borderId="0" xfId="3" applyNumberFormat="1" applyFont="1" applyAlignment="1" applyProtection="1"/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1" fontId="15" fillId="0" borderId="0" xfId="0" applyNumberFormat="1" applyFont="1"/>
    <xf numFmtId="1" fontId="25" fillId="0" borderId="0" xfId="3" applyNumberFormat="1" applyFont="1" applyBorder="1" applyAlignment="1" applyProtection="1"/>
    <xf numFmtId="0" fontId="25" fillId="2" borderId="0" xfId="3" applyFont="1" applyFill="1" applyBorder="1" applyAlignment="1" applyProtection="1"/>
  </cellXfs>
  <cellStyles count="4">
    <cellStyle name="Гиперссылка" xfId="3" builtinId="8"/>
    <cellStyle name="Денежный 2" xfId="2" xr:uid="{00000000-0005-0000-0000-000001000000}"/>
    <cellStyle name="Обычный" xfId="0" builtinId="0"/>
    <cellStyle name="Обычный 2" xfId="1" xr:uid="{00000000-0005-0000-0000-000003000000}"/>
  </cellStyles>
  <dxfs count="0"/>
  <tableStyles count="0" defaultTableStyle="TableStyleMedium9" defaultPivotStyle="PivotStyleLight16"/>
  <colors>
    <mruColors>
      <color rgb="FF00FFFF"/>
      <color rgb="FFCCFFFF"/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simet.ru/" TargetMode="External"/><Relationship Id="rId1" Type="http://schemas.openxmlformats.org/officeDocument/2006/relationships/hyperlink" Target="mailto:ooogelios14@yandex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usimet.ru/" TargetMode="External"/><Relationship Id="rId1" Type="http://schemas.openxmlformats.org/officeDocument/2006/relationships/hyperlink" Target="mailto:ooogelios14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85"/>
  <sheetViews>
    <sheetView tabSelected="1" zoomScale="210" zoomScaleNormal="210" workbookViewId="0">
      <selection activeCell="D8" sqref="D8"/>
    </sheetView>
  </sheetViews>
  <sheetFormatPr baseColWidth="10" defaultColWidth="8.83203125" defaultRowHeight="13"/>
  <cols>
    <col min="2" max="2" width="24" style="1" customWidth="1"/>
    <col min="3" max="3" width="29.5" style="1" customWidth="1"/>
    <col min="4" max="4" width="16.83203125" style="2" customWidth="1"/>
    <col min="5" max="5" width="11.83203125" style="6" customWidth="1"/>
    <col min="6" max="6" width="24.1640625" style="21" customWidth="1"/>
    <col min="7" max="7" width="14" customWidth="1"/>
    <col min="10" max="10" width="9.1640625" customWidth="1"/>
  </cols>
  <sheetData>
    <row r="1" spans="2:7" ht="32.25" customHeight="1">
      <c r="B1" s="3" t="s">
        <v>1111</v>
      </c>
      <c r="C1" s="4"/>
      <c r="D1" s="122" t="s">
        <v>955</v>
      </c>
      <c r="E1" s="122"/>
    </row>
    <row r="2" spans="2:7" ht="32.25" customHeight="1">
      <c r="B2" s="3" t="s">
        <v>159</v>
      </c>
      <c r="C2" s="4"/>
      <c r="D2" s="123" t="s">
        <v>956</v>
      </c>
      <c r="E2" s="123"/>
      <c r="F2" s="99"/>
    </row>
    <row r="3" spans="2:7" ht="32.25" customHeight="1">
      <c r="B3" s="3"/>
      <c r="C3" s="4"/>
      <c r="D3" s="124" t="s">
        <v>957</v>
      </c>
      <c r="E3" s="124"/>
      <c r="F3" s="17"/>
    </row>
    <row r="4" spans="2:7" ht="11" customHeight="1">
      <c r="B4" s="3"/>
      <c r="C4" s="4"/>
      <c r="D4" s="42"/>
      <c r="E4" s="5"/>
      <c r="F4" s="17"/>
    </row>
    <row r="5" spans="2:7" ht="16.5" customHeight="1">
      <c r="B5" s="121" t="s">
        <v>775</v>
      </c>
      <c r="C5" s="121"/>
      <c r="D5" s="121"/>
      <c r="F5" s="46">
        <v>46224</v>
      </c>
    </row>
    <row r="6" spans="2:7" ht="16.5" customHeight="1">
      <c r="B6" s="90" t="s">
        <v>0</v>
      </c>
      <c r="C6" s="90" t="s">
        <v>1112</v>
      </c>
      <c r="D6" s="91" t="s">
        <v>149</v>
      </c>
      <c r="E6" s="92" t="s">
        <v>223</v>
      </c>
      <c r="F6" s="93" t="s">
        <v>1113</v>
      </c>
    </row>
    <row r="7" spans="2:7" ht="14.25" customHeight="1">
      <c r="B7" s="86"/>
      <c r="C7" s="86"/>
      <c r="D7" s="89" t="s">
        <v>225</v>
      </c>
      <c r="E7" s="87"/>
      <c r="F7" s="88"/>
      <c r="G7" s="1"/>
    </row>
    <row r="8" spans="2:7" ht="17">
      <c r="B8" s="7" t="s">
        <v>60</v>
      </c>
      <c r="C8" s="8" t="s">
        <v>977</v>
      </c>
      <c r="D8" s="47" t="s">
        <v>974</v>
      </c>
      <c r="E8" s="9" t="s">
        <v>204</v>
      </c>
      <c r="F8" s="38">
        <v>400</v>
      </c>
      <c r="G8" s="1"/>
    </row>
    <row r="9" spans="2:7" ht="17">
      <c r="B9" s="7" t="s">
        <v>60</v>
      </c>
      <c r="C9" s="8" t="s">
        <v>977</v>
      </c>
      <c r="D9" s="41" t="s">
        <v>961</v>
      </c>
      <c r="E9" s="16" t="s">
        <v>962</v>
      </c>
      <c r="F9" s="39">
        <v>400</v>
      </c>
      <c r="G9" s="1"/>
    </row>
    <row r="10" spans="2:7" ht="17">
      <c r="B10" s="7" t="s">
        <v>60</v>
      </c>
      <c r="C10" s="8" t="s">
        <v>977</v>
      </c>
      <c r="D10" s="41" t="s">
        <v>958</v>
      </c>
      <c r="E10" s="16" t="s">
        <v>1038</v>
      </c>
      <c r="F10" s="39">
        <v>700</v>
      </c>
      <c r="G10" s="1"/>
    </row>
    <row r="11" spans="2:7" ht="16">
      <c r="B11" s="7" t="s">
        <v>60</v>
      </c>
      <c r="C11" s="8" t="s">
        <v>977</v>
      </c>
      <c r="D11" s="41" t="s">
        <v>205</v>
      </c>
      <c r="E11" s="40" t="s">
        <v>924</v>
      </c>
      <c r="F11" s="39">
        <v>900</v>
      </c>
      <c r="G11" s="1"/>
    </row>
    <row r="12" spans="2:7" ht="16">
      <c r="B12" s="7" t="s">
        <v>104</v>
      </c>
      <c r="C12" s="7" t="s">
        <v>1043</v>
      </c>
      <c r="D12" s="8" t="s">
        <v>676</v>
      </c>
      <c r="E12" s="8">
        <v>0.1</v>
      </c>
      <c r="F12" s="18">
        <v>1050000</v>
      </c>
      <c r="G12" s="1"/>
    </row>
    <row r="13" spans="2:7" ht="16">
      <c r="B13" s="7" t="s">
        <v>104</v>
      </c>
      <c r="C13" s="7" t="s">
        <v>1042</v>
      </c>
      <c r="D13" s="8" t="s">
        <v>676</v>
      </c>
      <c r="E13" s="8">
        <v>0.05</v>
      </c>
      <c r="F13" s="18">
        <v>1200000</v>
      </c>
      <c r="G13" s="1"/>
    </row>
    <row r="14" spans="2:7" ht="16">
      <c r="B14" s="7" t="s">
        <v>104</v>
      </c>
      <c r="C14" s="7" t="s">
        <v>1042</v>
      </c>
      <c r="D14" s="41" t="s">
        <v>195</v>
      </c>
      <c r="E14" s="41">
        <v>2.5000000000000001E-2</v>
      </c>
      <c r="F14" s="39">
        <v>1500000</v>
      </c>
      <c r="G14" s="1"/>
    </row>
    <row r="15" spans="2:7" ht="16">
      <c r="B15" s="7" t="s">
        <v>60</v>
      </c>
      <c r="C15" s="8" t="s">
        <v>978</v>
      </c>
      <c r="D15" s="8" t="s">
        <v>206</v>
      </c>
      <c r="E15" s="8" t="s">
        <v>1012</v>
      </c>
      <c r="F15" s="18">
        <v>2400</v>
      </c>
      <c r="G15" s="1"/>
    </row>
    <row r="16" spans="2:7" ht="16">
      <c r="B16" s="7" t="s">
        <v>104</v>
      </c>
      <c r="C16" s="7" t="s">
        <v>1043</v>
      </c>
      <c r="D16" s="8" t="s">
        <v>163</v>
      </c>
      <c r="E16" s="8">
        <v>0.1</v>
      </c>
      <c r="F16" s="18">
        <v>950000</v>
      </c>
      <c r="G16" s="1"/>
    </row>
    <row r="17" spans="2:7" ht="16">
      <c r="B17" s="7" t="s">
        <v>104</v>
      </c>
      <c r="C17" s="7" t="s">
        <v>1042</v>
      </c>
      <c r="D17" s="8" t="s">
        <v>163</v>
      </c>
      <c r="E17" s="8">
        <v>0.18</v>
      </c>
      <c r="F17" s="18">
        <v>1050000</v>
      </c>
      <c r="G17" s="1"/>
    </row>
    <row r="18" spans="2:7" ht="16">
      <c r="B18" s="7" t="s">
        <v>104</v>
      </c>
      <c r="C18" s="7" t="s">
        <v>1074</v>
      </c>
      <c r="D18" s="8" t="s">
        <v>86</v>
      </c>
      <c r="E18" s="8">
        <v>2.7</v>
      </c>
      <c r="F18" s="18">
        <v>700000</v>
      </c>
      <c r="G18" s="1"/>
    </row>
    <row r="19" spans="2:7" ht="16">
      <c r="B19" s="7" t="s">
        <v>104</v>
      </c>
      <c r="C19" s="7" t="s">
        <v>1042</v>
      </c>
      <c r="D19" s="8" t="s">
        <v>86</v>
      </c>
      <c r="E19" s="8">
        <v>2.0099999999999998</v>
      </c>
      <c r="F19" s="18">
        <v>800000</v>
      </c>
      <c r="G19" s="1"/>
    </row>
    <row r="20" spans="2:7" ht="16">
      <c r="B20" s="7" t="s">
        <v>104</v>
      </c>
      <c r="C20" s="7" t="s">
        <v>1042</v>
      </c>
      <c r="D20" s="8" t="s">
        <v>841</v>
      </c>
      <c r="E20" s="8">
        <v>1.7999999999999999E-2</v>
      </c>
      <c r="F20" s="18">
        <v>1500000</v>
      </c>
      <c r="G20" s="1"/>
    </row>
    <row r="21" spans="2:7" ht="16">
      <c r="B21" s="7" t="s">
        <v>60</v>
      </c>
      <c r="C21" s="8" t="s">
        <v>978</v>
      </c>
      <c r="D21" s="8" t="s">
        <v>846</v>
      </c>
      <c r="E21" s="8" t="s">
        <v>1040</v>
      </c>
      <c r="F21" s="18">
        <v>2700</v>
      </c>
      <c r="G21" s="1"/>
    </row>
    <row r="22" spans="2:7" ht="16">
      <c r="B22" s="7" t="s">
        <v>104</v>
      </c>
      <c r="C22" s="7" t="s">
        <v>1043</v>
      </c>
      <c r="D22" s="8" t="s">
        <v>1</v>
      </c>
      <c r="E22" s="8">
        <v>5.7000000000000002E-2</v>
      </c>
      <c r="F22" s="18">
        <v>900000</v>
      </c>
      <c r="G22" s="1"/>
    </row>
    <row r="23" spans="2:7" ht="16">
      <c r="B23" s="7" t="s">
        <v>104</v>
      </c>
      <c r="C23" s="7" t="s">
        <v>1044</v>
      </c>
      <c r="D23" s="8" t="s">
        <v>1</v>
      </c>
      <c r="E23" s="8">
        <v>5.7000000000000002E-2</v>
      </c>
      <c r="F23" s="18">
        <v>1000000</v>
      </c>
      <c r="G23" s="1"/>
    </row>
    <row r="24" spans="2:7" ht="16">
      <c r="B24" s="7" t="s">
        <v>104</v>
      </c>
      <c r="C24" s="7" t="s">
        <v>1043</v>
      </c>
      <c r="D24" s="8" t="s">
        <v>89</v>
      </c>
      <c r="E24" s="8">
        <v>0.1</v>
      </c>
      <c r="F24" s="18">
        <v>800000</v>
      </c>
      <c r="G24" s="1"/>
    </row>
    <row r="25" spans="2:7" ht="16">
      <c r="B25" s="7" t="s">
        <v>104</v>
      </c>
      <c r="C25" s="7" t="s">
        <v>1042</v>
      </c>
      <c r="D25" s="8" t="s">
        <v>89</v>
      </c>
      <c r="E25" s="8">
        <v>0.15</v>
      </c>
      <c r="F25" s="18">
        <v>900000</v>
      </c>
      <c r="G25" s="1"/>
    </row>
    <row r="26" spans="2:7" ht="16">
      <c r="B26" s="7" t="s">
        <v>104</v>
      </c>
      <c r="C26" s="7" t="s">
        <v>1043</v>
      </c>
      <c r="D26" s="8" t="s">
        <v>2</v>
      </c>
      <c r="E26" s="8">
        <v>0.7</v>
      </c>
      <c r="F26" s="18">
        <v>700000</v>
      </c>
      <c r="G26" s="1"/>
    </row>
    <row r="27" spans="2:7" ht="16">
      <c r="B27" s="7" t="s">
        <v>104</v>
      </c>
      <c r="C27" s="7" t="s">
        <v>1042</v>
      </c>
      <c r="D27" s="8" t="s">
        <v>2</v>
      </c>
      <c r="E27" s="8">
        <v>2.0499999999999998</v>
      </c>
      <c r="F27" s="18">
        <v>800000</v>
      </c>
      <c r="G27" s="1"/>
    </row>
    <row r="28" spans="2:7" ht="16">
      <c r="B28" s="7" t="s">
        <v>60</v>
      </c>
      <c r="C28" s="8" t="s">
        <v>978</v>
      </c>
      <c r="D28" s="8" t="s">
        <v>222</v>
      </c>
      <c r="E28" s="8" t="s">
        <v>964</v>
      </c>
      <c r="F28" s="18">
        <v>2640</v>
      </c>
      <c r="G28" s="1"/>
    </row>
    <row r="29" spans="2:7" ht="16">
      <c r="B29" s="7" t="s">
        <v>60</v>
      </c>
      <c r="C29" s="8" t="s">
        <v>978</v>
      </c>
      <c r="D29" s="8" t="s">
        <v>845</v>
      </c>
      <c r="E29" s="8" t="s">
        <v>963</v>
      </c>
      <c r="F29" s="18">
        <v>3000</v>
      </c>
      <c r="G29" s="1"/>
    </row>
    <row r="30" spans="2:7" ht="16">
      <c r="B30" s="7" t="s">
        <v>104</v>
      </c>
      <c r="C30" s="7" t="s">
        <v>1043</v>
      </c>
      <c r="D30" s="8" t="s">
        <v>679</v>
      </c>
      <c r="E30" s="8">
        <v>0.1</v>
      </c>
      <c r="F30" s="18">
        <v>800000</v>
      </c>
      <c r="G30" s="1"/>
    </row>
    <row r="31" spans="2:7" ht="16">
      <c r="B31" s="7" t="s">
        <v>60</v>
      </c>
      <c r="C31" s="8" t="s">
        <v>978</v>
      </c>
      <c r="D31" s="8" t="s">
        <v>196</v>
      </c>
      <c r="E31" s="8" t="s">
        <v>881</v>
      </c>
      <c r="F31" s="18">
        <v>3840</v>
      </c>
      <c r="G31" s="1"/>
    </row>
    <row r="32" spans="2:7" ht="16">
      <c r="B32" s="7" t="s">
        <v>104</v>
      </c>
      <c r="C32" s="7" t="s">
        <v>1043</v>
      </c>
      <c r="D32" s="8" t="s">
        <v>680</v>
      </c>
      <c r="E32" s="8">
        <v>0.08</v>
      </c>
      <c r="F32" s="19">
        <v>750000</v>
      </c>
      <c r="G32" s="1"/>
    </row>
    <row r="33" spans="2:7" ht="16">
      <c r="B33" s="7" t="s">
        <v>104</v>
      </c>
      <c r="C33" s="7" t="s">
        <v>1042</v>
      </c>
      <c r="D33" s="8" t="s">
        <v>680</v>
      </c>
      <c r="E33" s="8">
        <v>6.7000000000000004E-2</v>
      </c>
      <c r="F33" s="19">
        <v>850000</v>
      </c>
      <c r="G33" s="1"/>
    </row>
    <row r="34" spans="2:7" ht="16">
      <c r="B34" s="7" t="s">
        <v>104</v>
      </c>
      <c r="C34" s="7" t="s">
        <v>1043</v>
      </c>
      <c r="D34" s="8" t="s">
        <v>87</v>
      </c>
      <c r="E34" s="8">
        <v>0.03</v>
      </c>
      <c r="F34" s="19">
        <v>800000</v>
      </c>
      <c r="G34" s="1"/>
    </row>
    <row r="35" spans="2:7" ht="16">
      <c r="B35" s="7" t="s">
        <v>104</v>
      </c>
      <c r="C35" s="7" t="s">
        <v>1043</v>
      </c>
      <c r="D35" s="7" t="s">
        <v>91</v>
      </c>
      <c r="E35" s="10">
        <v>2.0299999999999998</v>
      </c>
      <c r="F35" s="19">
        <v>650000</v>
      </c>
      <c r="G35" s="1"/>
    </row>
    <row r="36" spans="2:7" ht="16">
      <c r="B36" s="7" t="s">
        <v>104</v>
      </c>
      <c r="C36" s="7" t="s">
        <v>1042</v>
      </c>
      <c r="D36" s="7" t="s">
        <v>91</v>
      </c>
      <c r="E36" s="10">
        <v>1.8</v>
      </c>
      <c r="F36" s="19">
        <v>720000</v>
      </c>
      <c r="G36" s="1"/>
    </row>
    <row r="37" spans="2:7" ht="16">
      <c r="B37" s="7" t="s">
        <v>104</v>
      </c>
      <c r="C37" s="7" t="s">
        <v>1043</v>
      </c>
      <c r="D37" s="7" t="s">
        <v>3</v>
      </c>
      <c r="E37" s="10">
        <v>0.43</v>
      </c>
      <c r="F37" s="19">
        <v>720000</v>
      </c>
      <c r="G37" s="1"/>
    </row>
    <row r="38" spans="2:7" ht="16">
      <c r="B38" s="7" t="s">
        <v>104</v>
      </c>
      <c r="C38" s="7" t="s">
        <v>1043</v>
      </c>
      <c r="D38" s="7" t="s">
        <v>92</v>
      </c>
      <c r="E38" s="10">
        <v>5.7000000000000002E-2</v>
      </c>
      <c r="F38" s="19">
        <v>750000</v>
      </c>
      <c r="G38" s="1"/>
    </row>
    <row r="39" spans="2:7" ht="16">
      <c r="B39" s="7" t="s">
        <v>60</v>
      </c>
      <c r="C39" s="8" t="s">
        <v>978</v>
      </c>
      <c r="D39" s="7" t="s">
        <v>92</v>
      </c>
      <c r="E39" s="10" t="s">
        <v>984</v>
      </c>
      <c r="F39" s="19">
        <v>3500</v>
      </c>
      <c r="G39" s="1"/>
    </row>
    <row r="40" spans="2:7" ht="16">
      <c r="B40" s="7" t="s">
        <v>104</v>
      </c>
      <c r="C40" s="7" t="s">
        <v>1042</v>
      </c>
      <c r="D40" s="7" t="s">
        <v>5</v>
      </c>
      <c r="E40" s="10">
        <v>8</v>
      </c>
      <c r="F40" s="19">
        <v>680000</v>
      </c>
      <c r="G40" s="1"/>
    </row>
    <row r="41" spans="2:7" ht="16">
      <c r="B41" s="7" t="s">
        <v>104</v>
      </c>
      <c r="C41" s="7" t="s">
        <v>1043</v>
      </c>
      <c r="D41" s="7" t="s">
        <v>5</v>
      </c>
      <c r="E41" s="10">
        <v>7.5</v>
      </c>
      <c r="F41" s="19">
        <v>640000</v>
      </c>
      <c r="G41" s="1"/>
    </row>
    <row r="42" spans="2:7" ht="16">
      <c r="B42" s="7" t="s">
        <v>104</v>
      </c>
      <c r="C42" s="7" t="s">
        <v>1043</v>
      </c>
      <c r="D42" s="7" t="s">
        <v>7</v>
      </c>
      <c r="E42" s="10">
        <v>0.1</v>
      </c>
      <c r="F42" s="19">
        <v>640000</v>
      </c>
      <c r="G42" s="1"/>
    </row>
    <row r="43" spans="2:7" ht="16">
      <c r="B43" s="7" t="s">
        <v>104</v>
      </c>
      <c r="C43" s="7" t="s">
        <v>1042</v>
      </c>
      <c r="D43" s="7" t="s">
        <v>7</v>
      </c>
      <c r="E43" s="10">
        <v>0.2</v>
      </c>
      <c r="F43" s="19">
        <v>780000</v>
      </c>
      <c r="G43" s="1"/>
    </row>
    <row r="44" spans="2:7" ht="16">
      <c r="B44" s="7" t="s">
        <v>104</v>
      </c>
      <c r="C44" s="7" t="s">
        <v>1043</v>
      </c>
      <c r="D44" s="7" t="s">
        <v>137</v>
      </c>
      <c r="E44" s="10">
        <v>0.5</v>
      </c>
      <c r="F44" s="19">
        <v>650000</v>
      </c>
      <c r="G44" s="1"/>
    </row>
    <row r="45" spans="2:7" ht="16">
      <c r="B45" s="7" t="s">
        <v>104</v>
      </c>
      <c r="C45" s="7" t="s">
        <v>1042</v>
      </c>
      <c r="D45" s="7" t="s">
        <v>137</v>
      </c>
      <c r="E45" s="10">
        <v>0.38</v>
      </c>
      <c r="F45" s="19">
        <v>720000</v>
      </c>
      <c r="G45" s="1"/>
    </row>
    <row r="46" spans="2:7" ht="16">
      <c r="B46" s="7" t="s">
        <v>104</v>
      </c>
      <c r="C46" s="7" t="s">
        <v>156</v>
      </c>
      <c r="D46" s="7" t="s">
        <v>686</v>
      </c>
      <c r="E46" s="10">
        <v>5.7000000000000002E-2</v>
      </c>
      <c r="F46" s="19">
        <v>750000</v>
      </c>
      <c r="G46" s="1"/>
    </row>
    <row r="47" spans="2:7" ht="16">
      <c r="B47" s="7" t="s">
        <v>60</v>
      </c>
      <c r="C47" s="7" t="s">
        <v>979</v>
      </c>
      <c r="D47" s="7" t="s">
        <v>686</v>
      </c>
      <c r="E47" s="10" t="s">
        <v>925</v>
      </c>
      <c r="F47" s="19">
        <v>4100</v>
      </c>
      <c r="G47" s="1"/>
    </row>
    <row r="48" spans="2:7" ht="16">
      <c r="B48" s="7" t="s">
        <v>104</v>
      </c>
      <c r="C48" s="7" t="s">
        <v>61</v>
      </c>
      <c r="D48" s="7" t="s">
        <v>94</v>
      </c>
      <c r="E48" s="10">
        <v>4.3999999999999997E-2</v>
      </c>
      <c r="F48" s="19">
        <v>700000</v>
      </c>
      <c r="G48" s="1"/>
    </row>
    <row r="49" spans="2:7" ht="16">
      <c r="B49" s="7" t="s">
        <v>60</v>
      </c>
      <c r="C49" s="7" t="s">
        <v>979</v>
      </c>
      <c r="D49" s="7" t="s">
        <v>94</v>
      </c>
      <c r="E49" s="10" t="s">
        <v>842</v>
      </c>
      <c r="F49" s="19">
        <v>4800</v>
      </c>
      <c r="G49" s="1"/>
    </row>
    <row r="50" spans="2:7" ht="16">
      <c r="B50" s="7" t="s">
        <v>60</v>
      </c>
      <c r="C50" s="7" t="s">
        <v>979</v>
      </c>
      <c r="D50" s="7" t="s">
        <v>807</v>
      </c>
      <c r="E50" s="10" t="s">
        <v>926</v>
      </c>
      <c r="F50" s="19">
        <v>5600</v>
      </c>
      <c r="G50" s="1"/>
    </row>
    <row r="51" spans="2:7" ht="16">
      <c r="B51" s="7" t="s">
        <v>104</v>
      </c>
      <c r="C51" s="7" t="s">
        <v>1043</v>
      </c>
      <c r="D51" s="7" t="s">
        <v>8</v>
      </c>
      <c r="E51" s="10">
        <v>0.2</v>
      </c>
      <c r="F51" s="19">
        <v>650000</v>
      </c>
      <c r="G51" s="1"/>
    </row>
    <row r="52" spans="2:7" ht="16">
      <c r="B52" s="7" t="s">
        <v>104</v>
      </c>
      <c r="C52" s="7" t="s">
        <v>1042</v>
      </c>
      <c r="D52" s="7" t="s">
        <v>8</v>
      </c>
      <c r="E52" s="10">
        <v>0.21</v>
      </c>
      <c r="F52" s="19">
        <v>710000</v>
      </c>
      <c r="G52" s="1"/>
    </row>
    <row r="53" spans="2:7" ht="16">
      <c r="B53" s="7" t="s">
        <v>104</v>
      </c>
      <c r="C53" s="7" t="s">
        <v>1042</v>
      </c>
      <c r="D53" s="7" t="s">
        <v>976</v>
      </c>
      <c r="E53" s="10">
        <v>2.2000000000000002</v>
      </c>
      <c r="F53" s="19">
        <v>670000</v>
      </c>
      <c r="G53" s="1"/>
    </row>
    <row r="54" spans="2:7" ht="16">
      <c r="B54" s="7" t="s">
        <v>104</v>
      </c>
      <c r="C54" s="7" t="s">
        <v>1043</v>
      </c>
      <c r="D54" s="7" t="s">
        <v>976</v>
      </c>
      <c r="E54" s="10">
        <v>2.1</v>
      </c>
      <c r="F54" s="19">
        <v>620000</v>
      </c>
      <c r="G54" s="1"/>
    </row>
    <row r="55" spans="2:7" ht="16">
      <c r="B55" s="7" t="s">
        <v>104</v>
      </c>
      <c r="C55" s="7" t="s">
        <v>1043</v>
      </c>
      <c r="D55" s="7" t="s">
        <v>9</v>
      </c>
      <c r="E55" s="10">
        <v>0.49</v>
      </c>
      <c r="F55" s="19">
        <v>650000</v>
      </c>
      <c r="G55" s="1"/>
    </row>
    <row r="56" spans="2:7" ht="16">
      <c r="B56" s="7" t="s">
        <v>104</v>
      </c>
      <c r="C56" s="7" t="s">
        <v>1042</v>
      </c>
      <c r="D56" s="7" t="s">
        <v>9</v>
      </c>
      <c r="E56" s="10">
        <v>0.56999999999999995</v>
      </c>
      <c r="F56" s="19">
        <v>700000</v>
      </c>
      <c r="G56" s="1"/>
    </row>
    <row r="57" spans="2:7" ht="16">
      <c r="B57" s="7" t="s">
        <v>104</v>
      </c>
      <c r="C57" s="7" t="s">
        <v>1043</v>
      </c>
      <c r="D57" s="7" t="s">
        <v>688</v>
      </c>
      <c r="E57" s="10">
        <v>0.5</v>
      </c>
      <c r="F57" s="19">
        <v>640000</v>
      </c>
      <c r="G57" s="1"/>
    </row>
    <row r="58" spans="2:7" ht="16">
      <c r="B58" s="7" t="s">
        <v>104</v>
      </c>
      <c r="C58" s="7" t="s">
        <v>1042</v>
      </c>
      <c r="D58" s="7" t="s">
        <v>688</v>
      </c>
      <c r="E58" s="10">
        <v>0.24</v>
      </c>
      <c r="F58" s="19">
        <v>720000</v>
      </c>
      <c r="G58" s="1"/>
    </row>
    <row r="59" spans="2:7" ht="16">
      <c r="B59" s="7" t="s">
        <v>104</v>
      </c>
      <c r="C59" s="7" t="s">
        <v>1043</v>
      </c>
      <c r="D59" s="7" t="s">
        <v>95</v>
      </c>
      <c r="E59" s="10">
        <v>3.0000000000000001E-3</v>
      </c>
      <c r="F59" s="22">
        <v>570000</v>
      </c>
      <c r="G59" s="23" t="s">
        <v>965</v>
      </c>
    </row>
    <row r="60" spans="2:7" ht="16">
      <c r="B60" s="7" t="s">
        <v>104</v>
      </c>
      <c r="C60" s="7" t="s">
        <v>1043</v>
      </c>
      <c r="D60" s="7" t="s">
        <v>97</v>
      </c>
      <c r="E60" s="10">
        <v>1.9E-2</v>
      </c>
      <c r="F60" s="19">
        <v>700000</v>
      </c>
      <c r="G60" s="23"/>
    </row>
    <row r="61" spans="2:7" ht="16">
      <c r="B61" s="7" t="s">
        <v>104</v>
      </c>
      <c r="C61" s="7" t="s">
        <v>1043</v>
      </c>
      <c r="D61" s="7" t="s">
        <v>164</v>
      </c>
      <c r="E61" s="10">
        <v>0.8</v>
      </c>
      <c r="F61" s="19">
        <v>620000</v>
      </c>
      <c r="G61" s="1"/>
    </row>
    <row r="62" spans="2:7" ht="16">
      <c r="B62" s="7" t="s">
        <v>104</v>
      </c>
      <c r="C62" s="7" t="s">
        <v>1043</v>
      </c>
      <c r="D62" s="7" t="s">
        <v>10</v>
      </c>
      <c r="E62" s="10">
        <v>4.05</v>
      </c>
      <c r="F62" s="19">
        <v>580000</v>
      </c>
      <c r="G62" s="1"/>
    </row>
    <row r="63" spans="2:7" ht="16">
      <c r="B63" s="7" t="s">
        <v>104</v>
      </c>
      <c r="C63" s="7" t="s">
        <v>1042</v>
      </c>
      <c r="D63" s="7" t="s">
        <v>10</v>
      </c>
      <c r="E63" s="10">
        <v>5</v>
      </c>
      <c r="F63" s="19">
        <v>630000</v>
      </c>
      <c r="G63" s="1"/>
    </row>
    <row r="64" spans="2:7" ht="16">
      <c r="B64" s="7" t="s">
        <v>104</v>
      </c>
      <c r="C64" s="7" t="s">
        <v>1043</v>
      </c>
      <c r="D64" s="7" t="s">
        <v>183</v>
      </c>
      <c r="E64" s="10">
        <v>0.5</v>
      </c>
      <c r="F64" s="19">
        <v>600000</v>
      </c>
      <c r="G64" s="1"/>
    </row>
    <row r="65" spans="2:7" ht="16">
      <c r="B65" s="7" t="s">
        <v>104</v>
      </c>
      <c r="C65" s="7" t="s">
        <v>1042</v>
      </c>
      <c r="D65" s="7" t="s">
        <v>183</v>
      </c>
      <c r="E65" s="10">
        <v>0.4</v>
      </c>
      <c r="F65" s="19">
        <v>650000</v>
      </c>
      <c r="G65" s="1"/>
    </row>
    <row r="66" spans="2:7" ht="16">
      <c r="B66" s="7" t="s">
        <v>104</v>
      </c>
      <c r="C66" s="7" t="s">
        <v>1043</v>
      </c>
      <c r="D66" s="7" t="s">
        <v>11</v>
      </c>
      <c r="E66" s="10">
        <v>0.33</v>
      </c>
      <c r="F66" s="19">
        <v>600000</v>
      </c>
      <c r="G66" s="1"/>
    </row>
    <row r="67" spans="2:7" ht="16">
      <c r="B67" s="7" t="s">
        <v>104</v>
      </c>
      <c r="C67" s="7" t="s">
        <v>1042</v>
      </c>
      <c r="D67" s="7" t="s">
        <v>11</v>
      </c>
      <c r="E67" s="10">
        <v>0.21</v>
      </c>
      <c r="F67" s="19">
        <v>650000</v>
      </c>
      <c r="G67" s="1"/>
    </row>
    <row r="68" spans="2:7" ht="16">
      <c r="B68" s="7" t="s">
        <v>60</v>
      </c>
      <c r="C68" s="52" t="s">
        <v>979</v>
      </c>
      <c r="D68" s="7" t="s">
        <v>99</v>
      </c>
      <c r="E68" s="10" t="s">
        <v>208</v>
      </c>
      <c r="F68" s="19">
        <v>5000</v>
      </c>
      <c r="G68" s="1"/>
    </row>
    <row r="69" spans="2:7" ht="16">
      <c r="B69" s="7" t="s">
        <v>60</v>
      </c>
      <c r="C69" s="52" t="s">
        <v>979</v>
      </c>
      <c r="D69" s="7" t="s">
        <v>209</v>
      </c>
      <c r="E69" s="10" t="s">
        <v>927</v>
      </c>
      <c r="F69" s="19">
        <v>2600</v>
      </c>
      <c r="G69" s="1"/>
    </row>
    <row r="70" spans="2:7" ht="16">
      <c r="B70" s="7" t="s">
        <v>60</v>
      </c>
      <c r="C70" s="52" t="s">
        <v>979</v>
      </c>
      <c r="D70" s="7" t="s">
        <v>210</v>
      </c>
      <c r="E70" s="10" t="s">
        <v>211</v>
      </c>
      <c r="F70" s="19">
        <v>3200</v>
      </c>
      <c r="G70" s="1"/>
    </row>
    <row r="71" spans="2:7" ht="16">
      <c r="B71" s="7" t="s">
        <v>104</v>
      </c>
      <c r="C71" s="7" t="s">
        <v>1042</v>
      </c>
      <c r="D71" s="7" t="s">
        <v>100</v>
      </c>
      <c r="E71" s="10">
        <v>2E-3</v>
      </c>
      <c r="F71" s="19">
        <v>900000</v>
      </c>
      <c r="G71" s="1"/>
    </row>
    <row r="72" spans="2:7" ht="16">
      <c r="B72" s="7" t="s">
        <v>104</v>
      </c>
      <c r="C72" s="7" t="s">
        <v>1043</v>
      </c>
      <c r="D72" s="7" t="s">
        <v>973</v>
      </c>
      <c r="E72" s="10">
        <v>6.0999999999999999E-2</v>
      </c>
      <c r="F72" s="22">
        <v>500000</v>
      </c>
      <c r="G72" s="23" t="s">
        <v>965</v>
      </c>
    </row>
    <row r="73" spans="2:7" ht="16">
      <c r="B73" s="7" t="s">
        <v>104</v>
      </c>
      <c r="C73" s="7" t="s">
        <v>1043</v>
      </c>
      <c r="D73" s="7" t="s">
        <v>129</v>
      </c>
      <c r="E73" s="10">
        <v>2.7</v>
      </c>
      <c r="F73" s="19">
        <v>580000</v>
      </c>
      <c r="G73" s="1"/>
    </row>
    <row r="74" spans="2:7" ht="16">
      <c r="B74" s="7" t="s">
        <v>104</v>
      </c>
      <c r="C74" s="7" t="s">
        <v>1042</v>
      </c>
      <c r="D74" s="7" t="s">
        <v>129</v>
      </c>
      <c r="E74" s="10">
        <v>2.2000000000000002</v>
      </c>
      <c r="F74" s="19">
        <v>620000</v>
      </c>
      <c r="G74" s="1"/>
    </row>
    <row r="75" spans="2:7" ht="16">
      <c r="B75" s="7" t="s">
        <v>104</v>
      </c>
      <c r="C75" s="7" t="s">
        <v>1043</v>
      </c>
      <c r="D75" s="7" t="s">
        <v>101</v>
      </c>
      <c r="E75" s="10">
        <v>2.7E-2</v>
      </c>
      <c r="F75" s="22">
        <v>500000</v>
      </c>
      <c r="G75" s="23" t="s">
        <v>965</v>
      </c>
    </row>
    <row r="76" spans="2:7" ht="16">
      <c r="B76" s="7" t="s">
        <v>104</v>
      </c>
      <c r="C76" s="7" t="s">
        <v>1043</v>
      </c>
      <c r="D76" s="7" t="s">
        <v>12</v>
      </c>
      <c r="E76" s="10">
        <v>0.15</v>
      </c>
      <c r="F76" s="19">
        <v>585000</v>
      </c>
      <c r="G76" s="1"/>
    </row>
    <row r="77" spans="2:7" ht="16">
      <c r="B77" s="7" t="s">
        <v>104</v>
      </c>
      <c r="C77" s="7" t="s">
        <v>1042</v>
      </c>
      <c r="D77" s="7" t="s">
        <v>12</v>
      </c>
      <c r="E77" s="10">
        <v>4.8000000000000001E-2</v>
      </c>
      <c r="F77" s="19">
        <v>630000</v>
      </c>
      <c r="G77" s="1"/>
    </row>
    <row r="78" spans="2:7" ht="16">
      <c r="B78" s="7" t="s">
        <v>104</v>
      </c>
      <c r="C78" s="7" t="s">
        <v>1043</v>
      </c>
      <c r="D78" s="7" t="s">
        <v>165</v>
      </c>
      <c r="E78" s="10">
        <v>0.75</v>
      </c>
      <c r="F78" s="19">
        <v>585000</v>
      </c>
      <c r="G78" s="1"/>
    </row>
    <row r="79" spans="2:7" ht="16">
      <c r="B79" s="7" t="s">
        <v>104</v>
      </c>
      <c r="C79" s="7" t="s">
        <v>1042</v>
      </c>
      <c r="D79" s="7" t="s">
        <v>165</v>
      </c>
      <c r="E79" s="10">
        <v>0.63</v>
      </c>
      <c r="F79" s="19">
        <v>650000</v>
      </c>
      <c r="G79" s="1"/>
    </row>
    <row r="80" spans="2:7" ht="16">
      <c r="B80" s="7" t="s">
        <v>104</v>
      </c>
      <c r="C80" s="7" t="s">
        <v>1043</v>
      </c>
      <c r="D80" s="7" t="s">
        <v>1121</v>
      </c>
      <c r="E80" s="10">
        <v>0.75</v>
      </c>
      <c r="F80" s="19">
        <v>585000</v>
      </c>
      <c r="G80" s="1"/>
    </row>
    <row r="81" spans="2:7" ht="16">
      <c r="B81" s="7" t="s">
        <v>104</v>
      </c>
      <c r="C81" s="7" t="s">
        <v>1042</v>
      </c>
      <c r="D81" s="7" t="s">
        <v>1121</v>
      </c>
      <c r="E81" s="10">
        <v>0.83</v>
      </c>
      <c r="F81" s="19">
        <v>620000</v>
      </c>
      <c r="G81" s="1"/>
    </row>
    <row r="82" spans="2:7" ht="16">
      <c r="B82" s="7" t="s">
        <v>104</v>
      </c>
      <c r="C82" s="7" t="s">
        <v>1043</v>
      </c>
      <c r="D82" s="7" t="s">
        <v>1014</v>
      </c>
      <c r="E82" s="10">
        <v>0.2</v>
      </c>
      <c r="F82" s="19">
        <v>585000</v>
      </c>
      <c r="G82" s="1"/>
    </row>
    <row r="83" spans="2:7" ht="16">
      <c r="B83" s="7" t="s">
        <v>104</v>
      </c>
      <c r="C83" s="7" t="s">
        <v>1042</v>
      </c>
      <c r="D83" s="7" t="s">
        <v>1014</v>
      </c>
      <c r="E83" s="10">
        <v>0.32</v>
      </c>
      <c r="F83" s="19">
        <v>650000</v>
      </c>
      <c r="G83" s="1"/>
    </row>
    <row r="84" spans="2:7" ht="16">
      <c r="B84" s="7" t="s">
        <v>104</v>
      </c>
      <c r="C84" s="7" t="s">
        <v>1043</v>
      </c>
      <c r="D84" s="7" t="s">
        <v>699</v>
      </c>
      <c r="E84" s="10">
        <v>0.3</v>
      </c>
      <c r="F84" s="19">
        <v>585000</v>
      </c>
      <c r="G84" s="1"/>
    </row>
    <row r="85" spans="2:7" ht="16">
      <c r="B85" s="7" t="s">
        <v>104</v>
      </c>
      <c r="C85" s="7" t="s">
        <v>1042</v>
      </c>
      <c r="D85" s="7" t="s">
        <v>699</v>
      </c>
      <c r="E85" s="10">
        <v>0.25</v>
      </c>
      <c r="F85" s="19">
        <v>630000</v>
      </c>
      <c r="G85" s="1"/>
    </row>
    <row r="86" spans="2:7" ht="16">
      <c r="B86" s="7" t="s">
        <v>60</v>
      </c>
      <c r="C86" s="52" t="s">
        <v>979</v>
      </c>
      <c r="D86" s="7" t="s">
        <v>212</v>
      </c>
      <c r="E86" s="10" t="s">
        <v>207</v>
      </c>
      <c r="F86" s="19">
        <v>5300</v>
      </c>
      <c r="G86" s="1"/>
    </row>
    <row r="87" spans="2:7" ht="16">
      <c r="B87" s="7" t="s">
        <v>104</v>
      </c>
      <c r="C87" s="7" t="s">
        <v>1042</v>
      </c>
      <c r="D87" s="7" t="s">
        <v>212</v>
      </c>
      <c r="E87" s="10">
        <v>0.2</v>
      </c>
      <c r="F87" s="19">
        <v>680000</v>
      </c>
      <c r="G87" s="1"/>
    </row>
    <row r="88" spans="2:7" ht="16">
      <c r="B88" s="7" t="s">
        <v>104</v>
      </c>
      <c r="C88" s="7" t="s">
        <v>1043</v>
      </c>
      <c r="D88" s="7" t="s">
        <v>153</v>
      </c>
      <c r="E88" s="10">
        <v>0.6</v>
      </c>
      <c r="F88" s="19">
        <v>560000</v>
      </c>
      <c r="G88" s="1"/>
    </row>
    <row r="89" spans="2:7" ht="16">
      <c r="B89" s="7" t="s">
        <v>104</v>
      </c>
      <c r="C89" s="7" t="s">
        <v>1042</v>
      </c>
      <c r="D89" s="7" t="s">
        <v>153</v>
      </c>
      <c r="E89" s="10">
        <v>0.22</v>
      </c>
      <c r="F89" s="19">
        <v>620000</v>
      </c>
      <c r="G89" s="1"/>
    </row>
    <row r="90" spans="2:7" ht="16">
      <c r="B90" s="7" t="s">
        <v>104</v>
      </c>
      <c r="C90" s="7" t="s">
        <v>1043</v>
      </c>
      <c r="D90" s="7" t="s">
        <v>13</v>
      </c>
      <c r="E90" s="10">
        <v>2.04</v>
      </c>
      <c r="F90" s="43">
        <v>585000</v>
      </c>
      <c r="G90" s="1"/>
    </row>
    <row r="91" spans="2:7" ht="16">
      <c r="B91" s="7" t="s">
        <v>104</v>
      </c>
      <c r="C91" s="7" t="s">
        <v>1043</v>
      </c>
      <c r="D91" s="7" t="s">
        <v>14</v>
      </c>
      <c r="E91" s="10">
        <v>0.5</v>
      </c>
      <c r="F91" s="43">
        <v>585000</v>
      </c>
      <c r="G91" s="1"/>
    </row>
    <row r="92" spans="2:7" ht="16">
      <c r="B92" s="7" t="s">
        <v>104</v>
      </c>
      <c r="C92" s="7" t="s">
        <v>1042</v>
      </c>
      <c r="D92" s="7" t="s">
        <v>14</v>
      </c>
      <c r="E92" s="10">
        <v>0.54</v>
      </c>
      <c r="F92" s="19">
        <v>630000</v>
      </c>
      <c r="G92" s="1"/>
    </row>
    <row r="93" spans="2:7" ht="16">
      <c r="B93" s="7" t="s">
        <v>104</v>
      </c>
      <c r="C93" s="7" t="s">
        <v>1043</v>
      </c>
      <c r="D93" s="7" t="s">
        <v>224</v>
      </c>
      <c r="E93" s="10">
        <v>0.2</v>
      </c>
      <c r="F93" s="43">
        <v>585000</v>
      </c>
      <c r="G93" s="1"/>
    </row>
    <row r="94" spans="2:7" ht="16">
      <c r="B94" s="7" t="s">
        <v>60</v>
      </c>
      <c r="C94" s="52" t="s">
        <v>979</v>
      </c>
      <c r="D94" s="7" t="s">
        <v>213</v>
      </c>
      <c r="E94" s="10" t="s">
        <v>214</v>
      </c>
      <c r="F94" s="19">
        <v>5060</v>
      </c>
      <c r="G94" s="1"/>
    </row>
    <row r="95" spans="2:7" ht="16">
      <c r="B95" s="7" t="s">
        <v>104</v>
      </c>
      <c r="C95" s="7" t="s">
        <v>1042</v>
      </c>
      <c r="D95" s="7" t="s">
        <v>805</v>
      </c>
      <c r="E95" s="10">
        <v>1.37</v>
      </c>
      <c r="F95" s="19">
        <v>550000</v>
      </c>
      <c r="G95" s="1"/>
    </row>
    <row r="96" spans="2:7" ht="16">
      <c r="B96" s="7" t="s">
        <v>60</v>
      </c>
      <c r="C96" s="52" t="s">
        <v>979</v>
      </c>
      <c r="D96" s="7" t="s">
        <v>215</v>
      </c>
      <c r="E96" s="10" t="s">
        <v>216</v>
      </c>
      <c r="F96" s="19">
        <v>5280</v>
      </c>
      <c r="G96" s="1"/>
    </row>
    <row r="97" spans="2:7" ht="16">
      <c r="B97" s="7" t="s">
        <v>60</v>
      </c>
      <c r="C97" s="52" t="s">
        <v>979</v>
      </c>
      <c r="D97" s="7" t="s">
        <v>166</v>
      </c>
      <c r="E97" s="10" t="s">
        <v>217</v>
      </c>
      <c r="F97" s="19">
        <v>6100</v>
      </c>
      <c r="G97" s="1"/>
    </row>
    <row r="98" spans="2:7" ht="16">
      <c r="B98" s="7" t="s">
        <v>104</v>
      </c>
      <c r="C98" s="7" t="s">
        <v>1042</v>
      </c>
      <c r="D98" s="7" t="s">
        <v>166</v>
      </c>
      <c r="E98" s="10">
        <v>0.28199999999999997</v>
      </c>
      <c r="F98" s="19">
        <v>630000</v>
      </c>
      <c r="G98" s="1"/>
    </row>
    <row r="99" spans="2:7" ht="16">
      <c r="B99" s="7" t="s">
        <v>104</v>
      </c>
      <c r="C99" s="7" t="s">
        <v>1074</v>
      </c>
      <c r="D99" s="7" t="s">
        <v>706</v>
      </c>
      <c r="E99" s="10">
        <v>6.02</v>
      </c>
      <c r="F99" s="43">
        <v>550000</v>
      </c>
      <c r="G99" s="1"/>
    </row>
    <row r="100" spans="2:7" ht="16">
      <c r="B100" s="7" t="s">
        <v>104</v>
      </c>
      <c r="C100" s="7" t="s">
        <v>1044</v>
      </c>
      <c r="D100" s="7" t="s">
        <v>706</v>
      </c>
      <c r="E100" s="10">
        <v>4.95</v>
      </c>
      <c r="F100" s="19">
        <v>600000</v>
      </c>
      <c r="G100" s="1"/>
    </row>
    <row r="101" spans="2:7" ht="16">
      <c r="B101" s="7" t="s">
        <v>104</v>
      </c>
      <c r="C101" s="7" t="s">
        <v>1043</v>
      </c>
      <c r="D101" s="7" t="s">
        <v>102</v>
      </c>
      <c r="E101" s="10">
        <v>1.1000000000000001</v>
      </c>
      <c r="F101" s="43">
        <v>560000</v>
      </c>
      <c r="G101" s="1"/>
    </row>
    <row r="102" spans="2:7" ht="16">
      <c r="B102" s="7" t="s">
        <v>104</v>
      </c>
      <c r="C102" s="7" t="s">
        <v>1042</v>
      </c>
      <c r="D102" s="7" t="s">
        <v>102</v>
      </c>
      <c r="E102" s="10">
        <v>0.5</v>
      </c>
      <c r="F102" s="19">
        <v>630000</v>
      </c>
      <c r="G102" s="1"/>
    </row>
    <row r="103" spans="2:7" ht="16">
      <c r="B103" s="7" t="s">
        <v>104</v>
      </c>
      <c r="C103" s="7" t="s">
        <v>1043</v>
      </c>
      <c r="D103" s="7" t="s">
        <v>15</v>
      </c>
      <c r="E103" s="10">
        <v>1</v>
      </c>
      <c r="F103" s="43">
        <v>560000</v>
      </c>
      <c r="G103" s="1"/>
    </row>
    <row r="104" spans="2:7" ht="16">
      <c r="B104" s="7" t="s">
        <v>104</v>
      </c>
      <c r="C104" s="7" t="s">
        <v>1042</v>
      </c>
      <c r="D104" s="7" t="s">
        <v>15</v>
      </c>
      <c r="E104" s="10">
        <v>0.7</v>
      </c>
      <c r="F104" s="19">
        <v>620000</v>
      </c>
      <c r="G104" s="1"/>
    </row>
    <row r="105" spans="2:7" ht="16">
      <c r="B105" s="7" t="s">
        <v>104</v>
      </c>
      <c r="C105" s="7" t="s">
        <v>1043</v>
      </c>
      <c r="D105" s="7" t="s">
        <v>16</v>
      </c>
      <c r="E105" s="10">
        <v>5.0999999999999996</v>
      </c>
      <c r="F105" s="43">
        <v>560000</v>
      </c>
      <c r="G105" s="1"/>
    </row>
    <row r="106" spans="2:7" ht="16">
      <c r="B106" s="7" t="s">
        <v>104</v>
      </c>
      <c r="C106" s="7" t="s">
        <v>1042</v>
      </c>
      <c r="D106" s="7" t="s">
        <v>16</v>
      </c>
      <c r="E106" s="10">
        <v>3.9</v>
      </c>
      <c r="F106" s="19">
        <v>620000</v>
      </c>
      <c r="G106" s="1"/>
    </row>
    <row r="107" spans="2:7" ht="16">
      <c r="B107" s="7" t="s">
        <v>104</v>
      </c>
      <c r="C107" s="7" t="s">
        <v>1043</v>
      </c>
      <c r="D107" s="7" t="s">
        <v>103</v>
      </c>
      <c r="E107" s="10">
        <v>0.19</v>
      </c>
      <c r="F107" s="19">
        <v>570000</v>
      </c>
      <c r="G107" s="1"/>
    </row>
    <row r="108" spans="2:7" ht="16">
      <c r="B108" s="7" t="s">
        <v>104</v>
      </c>
      <c r="C108" s="7" t="s">
        <v>1044</v>
      </c>
      <c r="D108" s="7" t="s">
        <v>103</v>
      </c>
      <c r="E108" s="10">
        <v>0.2</v>
      </c>
      <c r="F108" s="19">
        <v>620000</v>
      </c>
      <c r="G108" s="1"/>
    </row>
    <row r="109" spans="2:7" ht="16">
      <c r="B109" s="7" t="s">
        <v>104</v>
      </c>
      <c r="C109" s="7" t="s">
        <v>1043</v>
      </c>
      <c r="D109" s="7" t="s">
        <v>708</v>
      </c>
      <c r="E109" s="10">
        <v>1.4</v>
      </c>
      <c r="F109" s="43">
        <v>560000</v>
      </c>
      <c r="G109" s="1"/>
    </row>
    <row r="110" spans="2:7" ht="16">
      <c r="B110" s="7" t="s">
        <v>104</v>
      </c>
      <c r="C110" s="7" t="s">
        <v>1042</v>
      </c>
      <c r="D110" s="7" t="s">
        <v>708</v>
      </c>
      <c r="E110" s="10">
        <v>1.5</v>
      </c>
      <c r="F110" s="19">
        <v>620000</v>
      </c>
      <c r="G110" s="1"/>
    </row>
    <row r="111" spans="2:7" ht="16">
      <c r="B111" s="7" t="s">
        <v>104</v>
      </c>
      <c r="C111" s="7" t="s">
        <v>1043</v>
      </c>
      <c r="D111" s="7" t="s">
        <v>17</v>
      </c>
      <c r="E111" s="10">
        <v>0.4</v>
      </c>
      <c r="F111" s="43">
        <v>560000</v>
      </c>
      <c r="G111" s="1"/>
    </row>
    <row r="112" spans="2:7" ht="16">
      <c r="B112" s="7" t="s">
        <v>104</v>
      </c>
      <c r="C112" s="7" t="s">
        <v>1042</v>
      </c>
      <c r="D112" s="7" t="s">
        <v>17</v>
      </c>
      <c r="E112" s="10">
        <v>0.3</v>
      </c>
      <c r="F112" s="19">
        <v>620000</v>
      </c>
      <c r="G112" s="1"/>
    </row>
    <row r="113" spans="2:7" ht="16">
      <c r="B113" s="7" t="s">
        <v>104</v>
      </c>
      <c r="C113" s="7" t="s">
        <v>1043</v>
      </c>
      <c r="D113" s="7" t="s">
        <v>732</v>
      </c>
      <c r="E113" s="10">
        <v>0.2</v>
      </c>
      <c r="F113" s="43">
        <v>560000</v>
      </c>
      <c r="G113" s="1"/>
    </row>
    <row r="114" spans="2:7" ht="16">
      <c r="B114" s="7" t="s">
        <v>104</v>
      </c>
      <c r="C114" s="7" t="s">
        <v>1042</v>
      </c>
      <c r="D114" s="7" t="s">
        <v>732</v>
      </c>
      <c r="E114" s="10">
        <v>0.32</v>
      </c>
      <c r="F114" s="19">
        <v>620000</v>
      </c>
      <c r="G114" s="1"/>
    </row>
    <row r="115" spans="2:7" ht="16">
      <c r="B115" s="7" t="s">
        <v>104</v>
      </c>
      <c r="C115" s="7" t="s">
        <v>1043</v>
      </c>
      <c r="D115" s="7" t="s">
        <v>105</v>
      </c>
      <c r="E115" s="10">
        <v>2.4E-2</v>
      </c>
      <c r="F115" s="43">
        <v>630000</v>
      </c>
      <c r="G115" s="1"/>
    </row>
    <row r="116" spans="2:7" ht="16">
      <c r="B116" s="7" t="s">
        <v>104</v>
      </c>
      <c r="C116" s="7" t="s">
        <v>1043</v>
      </c>
      <c r="D116" s="7" t="s">
        <v>107</v>
      </c>
      <c r="E116" s="10">
        <v>3</v>
      </c>
      <c r="F116" s="43">
        <v>560000</v>
      </c>
      <c r="G116" s="1"/>
    </row>
    <row r="117" spans="2:7" ht="16">
      <c r="B117" s="7" t="s">
        <v>104</v>
      </c>
      <c r="C117" s="7" t="s">
        <v>1044</v>
      </c>
      <c r="D117" s="7" t="s">
        <v>107</v>
      </c>
      <c r="E117" s="10">
        <v>2.7</v>
      </c>
      <c r="F117" s="19">
        <v>620000</v>
      </c>
      <c r="G117" s="1"/>
    </row>
    <row r="118" spans="2:7" ht="16">
      <c r="B118" s="7" t="s">
        <v>104</v>
      </c>
      <c r="C118" s="7" t="s">
        <v>1043</v>
      </c>
      <c r="D118" s="7" t="s">
        <v>18</v>
      </c>
      <c r="E118" s="10">
        <v>0.215</v>
      </c>
      <c r="F118" s="43">
        <v>560000</v>
      </c>
      <c r="G118" s="1"/>
    </row>
    <row r="119" spans="2:7" ht="16">
      <c r="B119" s="7" t="s">
        <v>104</v>
      </c>
      <c r="C119" s="7" t="s">
        <v>1042</v>
      </c>
      <c r="D119" s="7" t="s">
        <v>18</v>
      </c>
      <c r="E119" s="10">
        <v>0.2</v>
      </c>
      <c r="F119" s="19">
        <v>620000</v>
      </c>
      <c r="G119" s="1"/>
    </row>
    <row r="120" spans="2:7" ht="16">
      <c r="B120" s="7" t="s">
        <v>60</v>
      </c>
      <c r="C120" s="52" t="s">
        <v>979</v>
      </c>
      <c r="D120" s="7" t="s">
        <v>218</v>
      </c>
      <c r="E120" s="10" t="s">
        <v>219</v>
      </c>
      <c r="F120" s="19">
        <v>6820</v>
      </c>
      <c r="G120" s="1"/>
    </row>
    <row r="121" spans="2:7" ht="16">
      <c r="B121" s="7" t="s">
        <v>104</v>
      </c>
      <c r="C121" s="7" t="s">
        <v>1043</v>
      </c>
      <c r="D121" s="7" t="s">
        <v>20</v>
      </c>
      <c r="E121" s="10">
        <v>0.3</v>
      </c>
      <c r="F121" s="43">
        <v>560000</v>
      </c>
      <c r="G121" s="1"/>
    </row>
    <row r="122" spans="2:7" ht="16">
      <c r="B122" s="7" t="s">
        <v>104</v>
      </c>
      <c r="C122" s="7" t="s">
        <v>1044</v>
      </c>
      <c r="D122" s="7" t="s">
        <v>20</v>
      </c>
      <c r="E122" s="10">
        <v>0.22</v>
      </c>
      <c r="F122" s="43">
        <v>600000</v>
      </c>
      <c r="G122" s="1"/>
    </row>
    <row r="123" spans="2:7" ht="16">
      <c r="B123" s="7" t="s">
        <v>104</v>
      </c>
      <c r="C123" s="7" t="s">
        <v>1043</v>
      </c>
      <c r="D123" s="7" t="s">
        <v>109</v>
      </c>
      <c r="E123" s="10">
        <v>0.5</v>
      </c>
      <c r="F123" s="43">
        <v>550000</v>
      </c>
      <c r="G123" s="1"/>
    </row>
    <row r="124" spans="2:7" ht="16">
      <c r="B124" s="7" t="s">
        <v>104</v>
      </c>
      <c r="C124" s="7" t="s">
        <v>1042</v>
      </c>
      <c r="D124" s="7" t="s">
        <v>109</v>
      </c>
      <c r="E124" s="10">
        <v>0.2</v>
      </c>
      <c r="F124" s="43">
        <v>600000</v>
      </c>
      <c r="G124" s="1"/>
    </row>
    <row r="125" spans="2:7" ht="16">
      <c r="B125" s="7" t="s">
        <v>104</v>
      </c>
      <c r="C125" s="7" t="s">
        <v>1043</v>
      </c>
      <c r="D125" s="7" t="s">
        <v>21</v>
      </c>
      <c r="E125" s="10">
        <v>4.2</v>
      </c>
      <c r="F125" s="43">
        <v>540000</v>
      </c>
      <c r="G125" s="1"/>
    </row>
    <row r="126" spans="2:7" ht="16">
      <c r="B126" s="7" t="s">
        <v>104</v>
      </c>
      <c r="C126" s="7" t="s">
        <v>1042</v>
      </c>
      <c r="D126" s="7" t="s">
        <v>21</v>
      </c>
      <c r="E126" s="10">
        <v>0.3</v>
      </c>
      <c r="F126" s="43">
        <v>600000</v>
      </c>
      <c r="G126" s="1"/>
    </row>
    <row r="127" spans="2:7" ht="16">
      <c r="B127" s="7" t="s">
        <v>104</v>
      </c>
      <c r="C127" s="7" t="s">
        <v>1043</v>
      </c>
      <c r="D127" s="7" t="s">
        <v>138</v>
      </c>
      <c r="E127" s="10">
        <v>0.5</v>
      </c>
      <c r="F127" s="43">
        <v>540000</v>
      </c>
      <c r="G127" s="1"/>
    </row>
    <row r="128" spans="2:7" ht="16">
      <c r="B128" s="7" t="s">
        <v>104</v>
      </c>
      <c r="C128" s="7" t="s">
        <v>1044</v>
      </c>
      <c r="D128" s="7" t="s">
        <v>138</v>
      </c>
      <c r="E128" s="10">
        <v>1</v>
      </c>
      <c r="F128" s="43">
        <v>600000</v>
      </c>
      <c r="G128" s="1"/>
    </row>
    <row r="129" spans="2:7" ht="16">
      <c r="B129" s="7" t="s">
        <v>104</v>
      </c>
      <c r="C129" s="7" t="s">
        <v>1043</v>
      </c>
      <c r="D129" s="7" t="s">
        <v>22</v>
      </c>
      <c r="E129" s="10">
        <v>5.05</v>
      </c>
      <c r="F129" s="43">
        <v>540000</v>
      </c>
      <c r="G129" s="1"/>
    </row>
    <row r="130" spans="2:7" ht="16">
      <c r="B130" s="7" t="s">
        <v>104</v>
      </c>
      <c r="C130" s="7" t="s">
        <v>1042</v>
      </c>
      <c r="D130" s="7" t="s">
        <v>22</v>
      </c>
      <c r="E130" s="10">
        <v>3.3</v>
      </c>
      <c r="F130" s="43">
        <v>590000</v>
      </c>
      <c r="G130" s="1"/>
    </row>
    <row r="131" spans="2:7" ht="16">
      <c r="B131" s="7" t="s">
        <v>104</v>
      </c>
      <c r="C131" s="7" t="s">
        <v>1043</v>
      </c>
      <c r="D131" s="7" t="s">
        <v>742</v>
      </c>
      <c r="E131" s="10">
        <v>0.05</v>
      </c>
      <c r="F131" s="19">
        <v>550000</v>
      </c>
      <c r="G131" s="1"/>
    </row>
    <row r="132" spans="2:7" ht="16">
      <c r="B132" s="7" t="s">
        <v>104</v>
      </c>
      <c r="C132" s="7" t="s">
        <v>1043</v>
      </c>
      <c r="D132" s="7" t="s">
        <v>88</v>
      </c>
      <c r="E132" s="10">
        <v>0.3</v>
      </c>
      <c r="F132" s="19">
        <v>550000</v>
      </c>
      <c r="G132" s="1"/>
    </row>
    <row r="133" spans="2:7" ht="16">
      <c r="B133" s="52" t="s">
        <v>104</v>
      </c>
      <c r="C133" s="115" t="s">
        <v>1043</v>
      </c>
      <c r="D133" s="115" t="s">
        <v>1138</v>
      </c>
      <c r="E133" s="116">
        <v>0.3</v>
      </c>
      <c r="F133" s="117">
        <v>560000</v>
      </c>
      <c r="G133" s="1"/>
    </row>
    <row r="134" spans="2:7" ht="16">
      <c r="B134" s="7" t="s">
        <v>104</v>
      </c>
      <c r="C134" s="7" t="s">
        <v>1043</v>
      </c>
      <c r="D134" s="7" t="s">
        <v>110</v>
      </c>
      <c r="E134" s="10">
        <v>0.32</v>
      </c>
      <c r="F134" s="19">
        <v>550000</v>
      </c>
      <c r="G134" s="1"/>
    </row>
    <row r="135" spans="2:7" ht="16">
      <c r="B135" s="7" t="s">
        <v>104</v>
      </c>
      <c r="C135" s="7" t="s">
        <v>1044</v>
      </c>
      <c r="D135" s="7" t="s">
        <v>110</v>
      </c>
      <c r="E135" s="10">
        <v>0.05</v>
      </c>
      <c r="F135" s="43">
        <v>600000</v>
      </c>
      <c r="G135" s="1"/>
    </row>
    <row r="136" spans="2:7" ht="16">
      <c r="B136" s="7" t="s">
        <v>104</v>
      </c>
      <c r="C136" s="7" t="s">
        <v>1043</v>
      </c>
      <c r="D136" s="7" t="s">
        <v>986</v>
      </c>
      <c r="E136" s="10">
        <v>4.5999999999999999E-2</v>
      </c>
      <c r="F136" s="43">
        <v>530000</v>
      </c>
      <c r="G136" s="1"/>
    </row>
    <row r="137" spans="2:7" ht="16">
      <c r="B137" s="7" t="s">
        <v>104</v>
      </c>
      <c r="C137" s="7" t="s">
        <v>1043</v>
      </c>
      <c r="D137" s="7" t="s">
        <v>745</v>
      </c>
      <c r="E137" s="10">
        <v>0.97</v>
      </c>
      <c r="F137" s="43">
        <v>540000</v>
      </c>
      <c r="G137" s="1"/>
    </row>
    <row r="138" spans="2:7" ht="16">
      <c r="B138" s="7" t="s">
        <v>104</v>
      </c>
      <c r="C138" s="7" t="s">
        <v>1042</v>
      </c>
      <c r="D138" s="7" t="s">
        <v>745</v>
      </c>
      <c r="E138" s="10">
        <v>1</v>
      </c>
      <c r="F138" s="43">
        <v>580000</v>
      </c>
      <c r="G138" s="1"/>
    </row>
    <row r="139" spans="2:7" ht="16">
      <c r="B139" s="7" t="s">
        <v>104</v>
      </c>
      <c r="C139" s="7" t="s">
        <v>1043</v>
      </c>
      <c r="D139" s="7" t="s">
        <v>985</v>
      </c>
      <c r="E139" s="10">
        <v>0.02</v>
      </c>
      <c r="F139" s="43">
        <v>540000</v>
      </c>
      <c r="G139" s="1"/>
    </row>
    <row r="140" spans="2:7" ht="16">
      <c r="B140" s="7" t="s">
        <v>104</v>
      </c>
      <c r="C140" s="7" t="s">
        <v>1043</v>
      </c>
      <c r="D140" s="7" t="s">
        <v>747</v>
      </c>
      <c r="E140" s="10">
        <v>1.2</v>
      </c>
      <c r="F140" s="43">
        <v>540000</v>
      </c>
      <c r="G140" s="1"/>
    </row>
    <row r="141" spans="2:7" ht="16">
      <c r="B141" s="7" t="s">
        <v>104</v>
      </c>
      <c r="C141" s="7" t="s">
        <v>1042</v>
      </c>
      <c r="D141" s="7" t="s">
        <v>747</v>
      </c>
      <c r="E141" s="10">
        <v>1.3</v>
      </c>
      <c r="F141" s="43">
        <v>580000</v>
      </c>
      <c r="G141" s="1"/>
    </row>
    <row r="142" spans="2:7" ht="16">
      <c r="B142" s="7" t="s">
        <v>104</v>
      </c>
      <c r="C142" s="7" t="s">
        <v>1085</v>
      </c>
      <c r="D142" s="7" t="s">
        <v>112</v>
      </c>
      <c r="E142" s="10">
        <v>0.309</v>
      </c>
      <c r="F142" s="43">
        <v>520000</v>
      </c>
      <c r="G142" s="1"/>
    </row>
    <row r="143" spans="2:7" ht="16">
      <c r="B143" s="7" t="s">
        <v>104</v>
      </c>
      <c r="C143" s="7" t="s">
        <v>1044</v>
      </c>
      <c r="D143" s="7" t="s">
        <v>112</v>
      </c>
      <c r="E143" s="10">
        <v>0.61199999999999999</v>
      </c>
      <c r="F143" s="43">
        <v>570000</v>
      </c>
      <c r="G143" s="1"/>
    </row>
    <row r="144" spans="2:7" ht="16">
      <c r="B144" s="7" t="s">
        <v>104</v>
      </c>
      <c r="C144" s="7" t="s">
        <v>1043</v>
      </c>
      <c r="D144" s="7" t="s">
        <v>140</v>
      </c>
      <c r="E144" s="10">
        <v>0.52</v>
      </c>
      <c r="F144" s="43">
        <v>520000</v>
      </c>
      <c r="G144" s="1"/>
    </row>
    <row r="145" spans="2:7" ht="16">
      <c r="B145" s="7" t="s">
        <v>104</v>
      </c>
      <c r="C145" s="7" t="s">
        <v>1074</v>
      </c>
      <c r="D145" s="7" t="s">
        <v>23</v>
      </c>
      <c r="E145" s="10">
        <v>2</v>
      </c>
      <c r="F145" s="43">
        <v>520000</v>
      </c>
      <c r="G145" s="1"/>
    </row>
    <row r="146" spans="2:7" ht="16">
      <c r="B146" s="7" t="s">
        <v>104</v>
      </c>
      <c r="C146" s="7" t="s">
        <v>1044</v>
      </c>
      <c r="D146" s="7" t="s">
        <v>23</v>
      </c>
      <c r="E146" s="10">
        <v>3</v>
      </c>
      <c r="F146" s="43">
        <v>550000</v>
      </c>
      <c r="G146" s="1"/>
    </row>
    <row r="147" spans="2:7" ht="16">
      <c r="B147" s="7" t="s">
        <v>62</v>
      </c>
      <c r="C147" s="7" t="s">
        <v>980</v>
      </c>
      <c r="D147" s="7" t="s">
        <v>23</v>
      </c>
      <c r="E147" s="10">
        <v>0.27700000000000002</v>
      </c>
      <c r="F147" s="19">
        <v>1700000</v>
      </c>
      <c r="G147" s="1"/>
    </row>
    <row r="148" spans="2:7" ht="16">
      <c r="B148" s="7" t="s">
        <v>104</v>
      </c>
      <c r="C148" s="7" t="s">
        <v>1043</v>
      </c>
      <c r="D148" s="7" t="s">
        <v>150</v>
      </c>
      <c r="E148" s="10">
        <v>0.80500000000000005</v>
      </c>
      <c r="F148" s="43">
        <v>520000</v>
      </c>
      <c r="G148" s="1"/>
    </row>
    <row r="149" spans="2:7" ht="16">
      <c r="B149" s="7" t="s">
        <v>104</v>
      </c>
      <c r="C149" s="7" t="s">
        <v>1044</v>
      </c>
      <c r="D149" s="7" t="s">
        <v>150</v>
      </c>
      <c r="E149" s="10">
        <v>0.3</v>
      </c>
      <c r="F149" s="43">
        <v>550000</v>
      </c>
      <c r="G149" s="1"/>
    </row>
    <row r="150" spans="2:7" ht="16">
      <c r="B150" s="7" t="s">
        <v>104</v>
      </c>
      <c r="C150" s="7" t="s">
        <v>1043</v>
      </c>
      <c r="D150" s="7" t="s">
        <v>236</v>
      </c>
      <c r="E150" s="10">
        <v>2</v>
      </c>
      <c r="F150" s="43">
        <v>520000</v>
      </c>
      <c r="G150" s="1"/>
    </row>
    <row r="151" spans="2:7" ht="16">
      <c r="B151" s="7" t="s">
        <v>104</v>
      </c>
      <c r="C151" s="7" t="s">
        <v>1044</v>
      </c>
      <c r="D151" s="7" t="s">
        <v>236</v>
      </c>
      <c r="E151" s="10">
        <v>1.5</v>
      </c>
      <c r="F151" s="43">
        <v>550000</v>
      </c>
      <c r="G151" s="1"/>
    </row>
    <row r="152" spans="2:7" ht="16">
      <c r="B152" s="7" t="s">
        <v>104</v>
      </c>
      <c r="C152" s="7" t="s">
        <v>1043</v>
      </c>
      <c r="D152" s="7" t="s">
        <v>141</v>
      </c>
      <c r="E152" s="10">
        <v>0.6</v>
      </c>
      <c r="F152" s="43">
        <v>520000</v>
      </c>
      <c r="G152" s="1"/>
    </row>
    <row r="153" spans="2:7" ht="16">
      <c r="B153" s="7" t="s">
        <v>104</v>
      </c>
      <c r="C153" s="7" t="s">
        <v>1044</v>
      </c>
      <c r="D153" s="7" t="s">
        <v>141</v>
      </c>
      <c r="E153" s="10">
        <v>0.432</v>
      </c>
      <c r="F153" s="19">
        <v>570000</v>
      </c>
      <c r="G153" s="1"/>
    </row>
    <row r="154" spans="2:7" ht="16">
      <c r="B154" s="7" t="s">
        <v>104</v>
      </c>
      <c r="C154" s="7" t="s">
        <v>1075</v>
      </c>
      <c r="D154" s="7" t="s">
        <v>24</v>
      </c>
      <c r="E154" s="10">
        <v>0.4</v>
      </c>
      <c r="F154" s="43">
        <v>520000</v>
      </c>
      <c r="G154" s="1"/>
    </row>
    <row r="155" spans="2:7" ht="16">
      <c r="B155" s="7" t="s">
        <v>104</v>
      </c>
      <c r="C155" s="7" t="s">
        <v>1044</v>
      </c>
      <c r="D155" s="7" t="s">
        <v>24</v>
      </c>
      <c r="E155" s="10">
        <v>0.2</v>
      </c>
      <c r="F155" s="43">
        <v>600000</v>
      </c>
      <c r="G155" s="1"/>
    </row>
    <row r="156" spans="2:7" ht="16">
      <c r="B156" s="7" t="s">
        <v>104</v>
      </c>
      <c r="C156" s="7" t="s">
        <v>1043</v>
      </c>
      <c r="D156" s="7" t="s">
        <v>760</v>
      </c>
      <c r="E156" s="10">
        <v>0.14000000000000001</v>
      </c>
      <c r="F156" s="43">
        <v>530000</v>
      </c>
      <c r="G156" s="1"/>
    </row>
    <row r="157" spans="2:7" ht="16">
      <c r="B157" s="7" t="s">
        <v>104</v>
      </c>
      <c r="C157" s="7" t="s">
        <v>1043</v>
      </c>
      <c r="D157" s="7" t="s">
        <v>197</v>
      </c>
      <c r="E157" s="10">
        <v>2E-3</v>
      </c>
      <c r="F157" s="43">
        <v>530000</v>
      </c>
      <c r="G157" s="1"/>
    </row>
    <row r="158" spans="2:7" ht="16">
      <c r="B158" s="7" t="s">
        <v>104</v>
      </c>
      <c r="C158" s="7" t="s">
        <v>1043</v>
      </c>
      <c r="D158" s="7" t="s">
        <v>237</v>
      </c>
      <c r="E158" s="10">
        <v>0.05</v>
      </c>
      <c r="F158" s="43">
        <v>530000</v>
      </c>
      <c r="G158" s="1"/>
    </row>
    <row r="159" spans="2:7" ht="16">
      <c r="B159" s="7" t="s">
        <v>104</v>
      </c>
      <c r="C159" s="7" t="s">
        <v>1044</v>
      </c>
      <c r="D159" s="7" t="s">
        <v>114</v>
      </c>
      <c r="E159" s="10">
        <v>0.125</v>
      </c>
      <c r="F159" s="19">
        <v>700000</v>
      </c>
      <c r="G159" s="1"/>
    </row>
    <row r="160" spans="2:7" ht="16">
      <c r="B160" s="7" t="s">
        <v>104</v>
      </c>
      <c r="C160" s="7" t="s">
        <v>1043</v>
      </c>
      <c r="D160" s="7" t="s">
        <v>115</v>
      </c>
      <c r="E160" s="10">
        <v>0.2</v>
      </c>
      <c r="F160" s="43">
        <v>540000</v>
      </c>
      <c r="G160" s="1"/>
    </row>
    <row r="161" spans="2:7" ht="16">
      <c r="B161" s="7" t="s">
        <v>104</v>
      </c>
      <c r="C161" s="7" t="s">
        <v>1043</v>
      </c>
      <c r="D161" s="7" t="s">
        <v>116</v>
      </c>
      <c r="E161" s="10">
        <v>4.3999999999999997E-2</v>
      </c>
      <c r="F161" s="43">
        <v>520000</v>
      </c>
      <c r="G161" s="1"/>
    </row>
    <row r="162" spans="2:7" ht="16">
      <c r="B162" s="7" t="s">
        <v>104</v>
      </c>
      <c r="C162" s="7" t="s">
        <v>1044</v>
      </c>
      <c r="D162" s="7" t="s">
        <v>116</v>
      </c>
      <c r="E162" s="10">
        <v>9.6000000000000002E-2</v>
      </c>
      <c r="F162" s="19">
        <v>570000</v>
      </c>
      <c r="G162" s="1"/>
    </row>
    <row r="163" spans="2:7" ht="14.25" customHeight="1">
      <c r="B163" s="7" t="s">
        <v>104</v>
      </c>
      <c r="C163" s="7" t="s">
        <v>1043</v>
      </c>
      <c r="D163" s="7" t="s">
        <v>25</v>
      </c>
      <c r="E163" s="10">
        <v>1.3</v>
      </c>
      <c r="F163" s="43">
        <v>520000</v>
      </c>
      <c r="G163" s="1"/>
    </row>
    <row r="164" spans="2:7" ht="15" hidden="1" customHeight="1">
      <c r="B164" s="7" t="s">
        <v>104</v>
      </c>
      <c r="C164" s="7" t="s">
        <v>61</v>
      </c>
      <c r="D164" s="7" t="s">
        <v>243</v>
      </c>
      <c r="E164" s="10">
        <v>0.12</v>
      </c>
      <c r="F164" s="43">
        <v>680000</v>
      </c>
      <c r="G164" s="1"/>
    </row>
    <row r="165" spans="2:7" ht="15" hidden="1" customHeight="1">
      <c r="B165" s="7" t="s">
        <v>104</v>
      </c>
      <c r="C165" s="7" t="s">
        <v>61</v>
      </c>
      <c r="D165" s="7" t="s">
        <v>244</v>
      </c>
      <c r="E165" s="10">
        <v>0.23200000000000001</v>
      </c>
      <c r="F165" s="19">
        <v>560000</v>
      </c>
      <c r="G165" s="1"/>
    </row>
    <row r="166" spans="2:7" ht="15" hidden="1" customHeight="1">
      <c r="B166" s="7" t="s">
        <v>104</v>
      </c>
      <c r="C166" s="7" t="s">
        <v>61</v>
      </c>
      <c r="D166" s="7" t="s">
        <v>245</v>
      </c>
      <c r="E166" s="10">
        <v>0.64</v>
      </c>
      <c r="F166" s="19">
        <v>560000</v>
      </c>
      <c r="G166" s="1"/>
    </row>
    <row r="167" spans="2:7" ht="15" hidden="1" customHeight="1">
      <c r="B167" s="7" t="s">
        <v>104</v>
      </c>
      <c r="C167" s="7" t="s">
        <v>61</v>
      </c>
      <c r="D167" s="7" t="s">
        <v>246</v>
      </c>
      <c r="E167" s="10">
        <v>0.53500000000000003</v>
      </c>
      <c r="F167" s="19">
        <v>560000</v>
      </c>
      <c r="G167" s="1"/>
    </row>
    <row r="168" spans="2:7" ht="15" hidden="1" customHeight="1">
      <c r="B168" s="7" t="s">
        <v>104</v>
      </c>
      <c r="C168" s="7" t="s">
        <v>61</v>
      </c>
      <c r="D168" s="7" t="s">
        <v>247</v>
      </c>
      <c r="E168" s="10">
        <v>1.645</v>
      </c>
      <c r="F168" s="19">
        <v>560000</v>
      </c>
      <c r="G168" s="1"/>
    </row>
    <row r="169" spans="2:7" ht="15" customHeight="1">
      <c r="B169" s="7" t="s">
        <v>104</v>
      </c>
      <c r="C169" s="7" t="s">
        <v>1044</v>
      </c>
      <c r="D169" s="7" t="s">
        <v>25</v>
      </c>
      <c r="E169" s="10">
        <v>1.1100000000000001</v>
      </c>
      <c r="F169" s="19">
        <v>550000</v>
      </c>
      <c r="G169" s="1"/>
    </row>
    <row r="170" spans="2:7" ht="15" customHeight="1">
      <c r="B170" s="7" t="s">
        <v>104</v>
      </c>
      <c r="C170" s="7" t="s">
        <v>1043</v>
      </c>
      <c r="D170" s="7" t="s">
        <v>242</v>
      </c>
      <c r="E170" s="10">
        <v>0.45</v>
      </c>
      <c r="F170" s="43">
        <v>530000</v>
      </c>
      <c r="G170" s="1"/>
    </row>
    <row r="171" spans="2:7" ht="15" customHeight="1">
      <c r="B171" s="7" t="s">
        <v>104</v>
      </c>
      <c r="C171" s="7" t="s">
        <v>1043</v>
      </c>
      <c r="D171" s="7" t="s">
        <v>243</v>
      </c>
      <c r="E171" s="10">
        <v>0.316</v>
      </c>
      <c r="F171" s="43">
        <v>520000</v>
      </c>
      <c r="G171" s="1"/>
    </row>
    <row r="172" spans="2:7" ht="15" customHeight="1">
      <c r="B172" s="7" t="s">
        <v>104</v>
      </c>
      <c r="C172" s="7" t="s">
        <v>1044</v>
      </c>
      <c r="D172" s="7" t="s">
        <v>243</v>
      </c>
      <c r="E172" s="10">
        <v>1.1100000000000001</v>
      </c>
      <c r="F172" s="19">
        <v>550000</v>
      </c>
      <c r="G172" s="1"/>
    </row>
    <row r="173" spans="2:7" ht="15" customHeight="1">
      <c r="B173" s="7" t="s">
        <v>104</v>
      </c>
      <c r="C173" s="7" t="s">
        <v>1043</v>
      </c>
      <c r="D173" s="7" t="s">
        <v>245</v>
      </c>
      <c r="E173" s="10">
        <v>3.2000000000000001E-2</v>
      </c>
      <c r="F173" s="43">
        <v>520000</v>
      </c>
      <c r="G173" s="1"/>
    </row>
    <row r="174" spans="2:7" ht="15" customHeight="1">
      <c r="B174" s="7" t="s">
        <v>104</v>
      </c>
      <c r="C174" s="7" t="s">
        <v>1044</v>
      </c>
      <c r="D174" s="7" t="s">
        <v>843</v>
      </c>
      <c r="E174" s="10">
        <v>0.122</v>
      </c>
      <c r="F174" s="43">
        <v>520000</v>
      </c>
      <c r="G174" s="1"/>
    </row>
    <row r="175" spans="2:7" ht="15" customHeight="1">
      <c r="B175" s="7" t="s">
        <v>104</v>
      </c>
      <c r="C175" s="7" t="s">
        <v>1043</v>
      </c>
      <c r="D175" s="7" t="s">
        <v>117</v>
      </c>
      <c r="E175" s="10">
        <v>0.09</v>
      </c>
      <c r="F175" s="43">
        <v>520000</v>
      </c>
      <c r="G175" s="1"/>
    </row>
    <row r="176" spans="2:7" ht="15" customHeight="1">
      <c r="B176" s="7" t="s">
        <v>104</v>
      </c>
      <c r="C176" s="7" t="s">
        <v>1043</v>
      </c>
      <c r="D176" s="7" t="s">
        <v>26</v>
      </c>
      <c r="E176" s="10">
        <v>0.5</v>
      </c>
      <c r="F176" s="43">
        <v>520000</v>
      </c>
      <c r="G176" s="1"/>
    </row>
    <row r="177" spans="2:7" ht="15" customHeight="1">
      <c r="B177" s="7" t="s">
        <v>104</v>
      </c>
      <c r="C177" s="7" t="s">
        <v>1044</v>
      </c>
      <c r="D177" s="7" t="s">
        <v>26</v>
      </c>
      <c r="E177" s="10">
        <v>0.7</v>
      </c>
      <c r="F177" s="19">
        <v>550000</v>
      </c>
      <c r="G177" s="1"/>
    </row>
    <row r="178" spans="2:7" ht="15" customHeight="1">
      <c r="B178" s="7" t="s">
        <v>104</v>
      </c>
      <c r="C178" s="7" t="s">
        <v>1043</v>
      </c>
      <c r="D178" s="7" t="s">
        <v>27</v>
      </c>
      <c r="E178" s="10">
        <v>0.33</v>
      </c>
      <c r="F178" s="43">
        <v>520000</v>
      </c>
      <c r="G178" s="1"/>
    </row>
    <row r="179" spans="2:7" ht="15" customHeight="1">
      <c r="B179" s="7" t="s">
        <v>104</v>
      </c>
      <c r="C179" s="7" t="s">
        <v>1044</v>
      </c>
      <c r="D179" s="7" t="s">
        <v>27</v>
      </c>
      <c r="E179" s="10">
        <v>0.1</v>
      </c>
      <c r="F179" s="19">
        <v>570000</v>
      </c>
      <c r="G179" s="1"/>
    </row>
    <row r="180" spans="2:7" ht="15" customHeight="1">
      <c r="B180" s="7" t="s">
        <v>104</v>
      </c>
      <c r="C180" s="7" t="s">
        <v>1043</v>
      </c>
      <c r="D180" s="7" t="s">
        <v>28</v>
      </c>
      <c r="E180" s="10">
        <v>2</v>
      </c>
      <c r="F180" s="43">
        <v>520000</v>
      </c>
      <c r="G180" s="1"/>
    </row>
    <row r="181" spans="2:7" ht="15" customHeight="1">
      <c r="B181" s="7" t="s">
        <v>104</v>
      </c>
      <c r="C181" s="7" t="s">
        <v>1044</v>
      </c>
      <c r="D181" s="7" t="s">
        <v>28</v>
      </c>
      <c r="E181" s="10">
        <v>3</v>
      </c>
      <c r="F181" s="19">
        <v>550000</v>
      </c>
      <c r="G181" s="1"/>
    </row>
    <row r="182" spans="2:7" ht="16">
      <c r="B182" s="7" t="s">
        <v>104</v>
      </c>
      <c r="C182" s="7" t="s">
        <v>1043</v>
      </c>
      <c r="D182" s="7" t="s">
        <v>29</v>
      </c>
      <c r="E182" s="10">
        <v>0.4</v>
      </c>
      <c r="F182" s="43">
        <v>520000</v>
      </c>
      <c r="G182" s="1"/>
    </row>
    <row r="183" spans="2:7" ht="16">
      <c r="B183" s="7" t="s">
        <v>104</v>
      </c>
      <c r="C183" s="7" t="s">
        <v>1043</v>
      </c>
      <c r="D183" s="7" t="s">
        <v>30</v>
      </c>
      <c r="E183" s="10">
        <v>1</v>
      </c>
      <c r="F183" s="43">
        <v>520000</v>
      </c>
      <c r="G183" s="1"/>
    </row>
    <row r="184" spans="2:7" ht="16">
      <c r="B184" s="7" t="s">
        <v>104</v>
      </c>
      <c r="C184" s="7" t="s">
        <v>1044</v>
      </c>
      <c r="D184" s="7" t="s">
        <v>30</v>
      </c>
      <c r="E184" s="10">
        <v>1.5</v>
      </c>
      <c r="F184" s="19">
        <v>550000</v>
      </c>
      <c r="G184" s="1"/>
    </row>
    <row r="185" spans="2:7" ht="16">
      <c r="B185" s="7" t="s">
        <v>104</v>
      </c>
      <c r="C185" s="7" t="s">
        <v>1043</v>
      </c>
      <c r="D185" s="7" t="s">
        <v>254</v>
      </c>
      <c r="E185" s="10">
        <v>0.62</v>
      </c>
      <c r="F185" s="43">
        <v>520000</v>
      </c>
      <c r="G185" s="1"/>
    </row>
    <row r="186" spans="2:7" ht="16">
      <c r="B186" s="7" t="s">
        <v>104</v>
      </c>
      <c r="C186" s="7" t="s">
        <v>1043</v>
      </c>
      <c r="D186" s="7" t="s">
        <v>255</v>
      </c>
      <c r="E186" s="10">
        <v>3.6</v>
      </c>
      <c r="F186" s="43">
        <v>520000</v>
      </c>
      <c r="G186" s="1"/>
    </row>
    <row r="187" spans="2:7" ht="16">
      <c r="B187" s="7" t="s">
        <v>104</v>
      </c>
      <c r="C187" s="7" t="s">
        <v>1044</v>
      </c>
      <c r="D187" s="7" t="s">
        <v>255</v>
      </c>
      <c r="E187" s="10">
        <v>3.9</v>
      </c>
      <c r="F187" s="19">
        <v>550000</v>
      </c>
      <c r="G187" s="1"/>
    </row>
    <row r="188" spans="2:7" ht="16">
      <c r="B188" s="7" t="s">
        <v>104</v>
      </c>
      <c r="C188" s="7" t="s">
        <v>1043</v>
      </c>
      <c r="D188" s="7" t="s">
        <v>256</v>
      </c>
      <c r="E188" s="10">
        <v>0.03</v>
      </c>
      <c r="F188" s="43">
        <v>520000</v>
      </c>
      <c r="G188" s="1"/>
    </row>
    <row r="189" spans="2:7" ht="16">
      <c r="B189" s="7" t="s">
        <v>104</v>
      </c>
      <c r="C189" s="7" t="s">
        <v>1043</v>
      </c>
      <c r="D189" s="7" t="s">
        <v>257</v>
      </c>
      <c r="E189" s="10">
        <v>7.0000000000000007E-2</v>
      </c>
      <c r="F189" s="43">
        <v>520000</v>
      </c>
      <c r="G189" s="1"/>
    </row>
    <row r="190" spans="2:7" ht="16">
      <c r="B190" s="7" t="s">
        <v>104</v>
      </c>
      <c r="C190" s="7" t="s">
        <v>1043</v>
      </c>
      <c r="D190" s="7" t="s">
        <v>118</v>
      </c>
      <c r="E190" s="10">
        <v>0.16</v>
      </c>
      <c r="F190" s="43">
        <v>520000</v>
      </c>
      <c r="G190" s="1"/>
    </row>
    <row r="191" spans="2:7" ht="16">
      <c r="B191" s="7" t="s">
        <v>104</v>
      </c>
      <c r="C191" s="7" t="s">
        <v>1043</v>
      </c>
      <c r="D191" s="7" t="s">
        <v>983</v>
      </c>
      <c r="E191" s="10">
        <v>6.0000000000000001E-3</v>
      </c>
      <c r="F191" s="19">
        <v>620000</v>
      </c>
      <c r="G191" s="1"/>
    </row>
    <row r="192" spans="2:7" ht="16">
      <c r="B192" s="7" t="s">
        <v>104</v>
      </c>
      <c r="C192" s="7" t="s">
        <v>1043</v>
      </c>
      <c r="D192" s="7" t="s">
        <v>981</v>
      </c>
      <c r="E192" s="10">
        <v>6.0000000000000001E-3</v>
      </c>
      <c r="F192" s="43">
        <v>500000</v>
      </c>
      <c r="G192" s="1"/>
    </row>
    <row r="193" spans="2:7" ht="16">
      <c r="B193" s="7" t="s">
        <v>104</v>
      </c>
      <c r="C193" s="7" t="s">
        <v>1043</v>
      </c>
      <c r="D193" s="7" t="s">
        <v>982</v>
      </c>
      <c r="E193" s="10">
        <v>3.1E-2</v>
      </c>
      <c r="F193" s="43">
        <v>500000</v>
      </c>
      <c r="G193" s="1"/>
    </row>
    <row r="194" spans="2:7" ht="16">
      <c r="B194" s="7" t="s">
        <v>104</v>
      </c>
      <c r="C194" s="7" t="s">
        <v>1043</v>
      </c>
      <c r="D194" s="7" t="s">
        <v>31</v>
      </c>
      <c r="E194" s="10">
        <v>2.5</v>
      </c>
      <c r="F194" s="43">
        <v>520000</v>
      </c>
      <c r="G194" s="1"/>
    </row>
    <row r="195" spans="2:7" ht="16">
      <c r="B195" s="7" t="s">
        <v>104</v>
      </c>
      <c r="C195" s="7" t="s">
        <v>1044</v>
      </c>
      <c r="D195" s="7" t="s">
        <v>31</v>
      </c>
      <c r="E195" s="10">
        <v>3</v>
      </c>
      <c r="F195" s="19">
        <v>560000</v>
      </c>
      <c r="G195" s="1"/>
    </row>
    <row r="196" spans="2:7" ht="16">
      <c r="B196" s="7" t="s">
        <v>104</v>
      </c>
      <c r="C196" s="7" t="s">
        <v>1043</v>
      </c>
      <c r="D196" s="7" t="s">
        <v>889</v>
      </c>
      <c r="E196" s="10">
        <v>1.6</v>
      </c>
      <c r="F196" s="43">
        <v>520000</v>
      </c>
      <c r="G196" s="1"/>
    </row>
    <row r="197" spans="2:7" ht="16">
      <c r="B197" s="7" t="s">
        <v>104</v>
      </c>
      <c r="C197" s="7" t="s">
        <v>1044</v>
      </c>
      <c r="D197" s="7" t="s">
        <v>889</v>
      </c>
      <c r="E197" s="10">
        <v>2.2000000000000002</v>
      </c>
      <c r="F197" s="19">
        <v>560000</v>
      </c>
      <c r="G197" s="1"/>
    </row>
    <row r="198" spans="2:7" ht="16">
      <c r="B198" s="7" t="s">
        <v>104</v>
      </c>
      <c r="C198" s="7" t="s">
        <v>1043</v>
      </c>
      <c r="D198" s="7" t="s">
        <v>32</v>
      </c>
      <c r="E198" s="10">
        <v>6</v>
      </c>
      <c r="F198" s="43">
        <v>520000</v>
      </c>
      <c r="G198" s="1"/>
    </row>
    <row r="199" spans="2:7" ht="1.5" hidden="1" customHeight="1">
      <c r="B199" s="7" t="s">
        <v>104</v>
      </c>
      <c r="C199" s="7" t="s">
        <v>198</v>
      </c>
      <c r="D199" s="7" t="s">
        <v>119</v>
      </c>
      <c r="E199" s="10">
        <v>0.2</v>
      </c>
      <c r="F199" s="19">
        <v>560000</v>
      </c>
      <c r="G199" s="1"/>
    </row>
    <row r="200" spans="2:7" ht="15" hidden="1" customHeight="1">
      <c r="B200" s="7" t="s">
        <v>104</v>
      </c>
      <c r="C200" s="7" t="s">
        <v>198</v>
      </c>
      <c r="D200" s="7" t="s">
        <v>278</v>
      </c>
      <c r="E200" s="10">
        <v>0.2</v>
      </c>
      <c r="F200" s="19">
        <v>550000</v>
      </c>
      <c r="G200" s="1"/>
    </row>
    <row r="201" spans="2:7" ht="15" hidden="1" customHeight="1">
      <c r="B201" s="7" t="s">
        <v>104</v>
      </c>
      <c r="C201" s="7" t="s">
        <v>198</v>
      </c>
      <c r="D201" s="7" t="s">
        <v>279</v>
      </c>
      <c r="E201" s="10">
        <v>0.2</v>
      </c>
      <c r="F201" s="19">
        <v>550000</v>
      </c>
      <c r="G201" s="1"/>
    </row>
    <row r="202" spans="2:7" ht="15" hidden="1" customHeight="1">
      <c r="B202" s="7" t="s">
        <v>104</v>
      </c>
      <c r="C202" s="7" t="s">
        <v>198</v>
      </c>
      <c r="D202" s="7" t="s">
        <v>280</v>
      </c>
      <c r="E202" s="10">
        <v>0.2</v>
      </c>
      <c r="F202" s="19">
        <v>550000</v>
      </c>
      <c r="G202" s="1"/>
    </row>
    <row r="203" spans="2:7" ht="15" hidden="1" customHeight="1">
      <c r="B203" s="7" t="s">
        <v>104</v>
      </c>
      <c r="C203" s="7" t="s">
        <v>198</v>
      </c>
      <c r="D203" s="7" t="s">
        <v>806</v>
      </c>
      <c r="E203" s="10">
        <v>0.2</v>
      </c>
      <c r="F203" s="19">
        <v>550000</v>
      </c>
      <c r="G203" s="1"/>
    </row>
    <row r="204" spans="2:7" ht="15" customHeight="1">
      <c r="B204" s="7" t="s">
        <v>104</v>
      </c>
      <c r="C204" s="7" t="s">
        <v>1044</v>
      </c>
      <c r="D204" s="7" t="s">
        <v>32</v>
      </c>
      <c r="E204" s="10">
        <v>4.5</v>
      </c>
      <c r="F204" s="19">
        <v>560000</v>
      </c>
      <c r="G204" s="1"/>
    </row>
    <row r="205" spans="2:7" ht="15" customHeight="1">
      <c r="B205" s="7" t="s">
        <v>104</v>
      </c>
      <c r="C205" s="7" t="s">
        <v>1043</v>
      </c>
      <c r="D205" s="7" t="s">
        <v>154</v>
      </c>
      <c r="E205" s="10">
        <v>2</v>
      </c>
      <c r="F205" s="43">
        <v>520000</v>
      </c>
      <c r="G205" s="1"/>
    </row>
    <row r="206" spans="2:7" ht="15" customHeight="1">
      <c r="B206" s="7" t="s">
        <v>104</v>
      </c>
      <c r="C206" s="7" t="s">
        <v>1044</v>
      </c>
      <c r="D206" s="7" t="s">
        <v>154</v>
      </c>
      <c r="E206" s="10">
        <v>1.8</v>
      </c>
      <c r="F206" s="19">
        <v>560000</v>
      </c>
      <c r="G206" s="1"/>
    </row>
    <row r="207" spans="2:7" ht="15" customHeight="1">
      <c r="B207" s="7" t="s">
        <v>104</v>
      </c>
      <c r="C207" s="7" t="s">
        <v>1043</v>
      </c>
      <c r="D207" s="7" t="s">
        <v>119</v>
      </c>
      <c r="E207" s="10">
        <v>1.2</v>
      </c>
      <c r="F207" s="43">
        <v>520000</v>
      </c>
      <c r="G207" s="1"/>
    </row>
    <row r="208" spans="2:7" ht="15" customHeight="1">
      <c r="B208" s="7" t="s">
        <v>104</v>
      </c>
      <c r="C208" s="7" t="s">
        <v>1044</v>
      </c>
      <c r="D208" s="7" t="s">
        <v>119</v>
      </c>
      <c r="E208" s="10">
        <v>0.4</v>
      </c>
      <c r="F208" s="19">
        <v>560000</v>
      </c>
      <c r="G208" s="1"/>
    </row>
    <row r="209" spans="2:7" ht="15" customHeight="1">
      <c r="B209" s="7" t="s">
        <v>104</v>
      </c>
      <c r="C209" s="7" t="s">
        <v>1075</v>
      </c>
      <c r="D209" s="7" t="s">
        <v>278</v>
      </c>
      <c r="E209" s="10">
        <v>1.96</v>
      </c>
      <c r="F209" s="43">
        <v>520000</v>
      </c>
      <c r="G209" s="1"/>
    </row>
    <row r="210" spans="2:7" ht="15" customHeight="1">
      <c r="B210" s="7" t="s">
        <v>104</v>
      </c>
      <c r="C210" s="7" t="s">
        <v>1044</v>
      </c>
      <c r="D210" s="7" t="s">
        <v>278</v>
      </c>
      <c r="E210" s="10">
        <v>2</v>
      </c>
      <c r="F210" s="19">
        <v>560000</v>
      </c>
      <c r="G210" s="1"/>
    </row>
    <row r="211" spans="2:7" ht="15" customHeight="1">
      <c r="B211" s="7" t="s">
        <v>104</v>
      </c>
      <c r="C211" s="7" t="s">
        <v>1075</v>
      </c>
      <c r="D211" s="7" t="s">
        <v>280</v>
      </c>
      <c r="E211" s="10">
        <v>0.7</v>
      </c>
      <c r="F211" s="19">
        <v>530000</v>
      </c>
      <c r="G211" s="1"/>
    </row>
    <row r="212" spans="2:7" ht="15" customHeight="1">
      <c r="B212" s="7" t="s">
        <v>104</v>
      </c>
      <c r="C212" s="7" t="s">
        <v>1043</v>
      </c>
      <c r="D212" s="7" t="s">
        <v>975</v>
      </c>
      <c r="E212" s="10">
        <v>0.01</v>
      </c>
      <c r="F212" s="19">
        <v>500000</v>
      </c>
      <c r="G212" s="1" t="s">
        <v>965</v>
      </c>
    </row>
    <row r="213" spans="2:7" ht="16">
      <c r="B213" s="7" t="s">
        <v>104</v>
      </c>
      <c r="C213" s="7" t="s">
        <v>1043</v>
      </c>
      <c r="D213" s="7" t="s">
        <v>33</v>
      </c>
      <c r="E213" s="10">
        <v>1</v>
      </c>
      <c r="F213" s="19">
        <v>530000</v>
      </c>
      <c r="G213" s="1"/>
    </row>
    <row r="214" spans="2:7" ht="16">
      <c r="B214" s="7" t="s">
        <v>104</v>
      </c>
      <c r="C214" s="7" t="s">
        <v>1044</v>
      </c>
      <c r="D214" s="7" t="s">
        <v>33</v>
      </c>
      <c r="E214" s="10">
        <v>0.75</v>
      </c>
      <c r="F214" s="19">
        <v>570000</v>
      </c>
      <c r="G214" s="1"/>
    </row>
    <row r="215" spans="2:7" ht="16">
      <c r="B215" s="7" t="s">
        <v>104</v>
      </c>
      <c r="C215" s="7" t="s">
        <v>1043</v>
      </c>
      <c r="D215" s="7" t="s">
        <v>34</v>
      </c>
      <c r="E215" s="10">
        <v>2.5000000000000001E-2</v>
      </c>
      <c r="F215" s="43">
        <v>490000</v>
      </c>
      <c r="G215" s="1"/>
    </row>
    <row r="216" spans="2:7" ht="16">
      <c r="B216" s="7" t="s">
        <v>104</v>
      </c>
      <c r="C216" s="7" t="s">
        <v>1043</v>
      </c>
      <c r="D216" s="7" t="s">
        <v>35</v>
      </c>
      <c r="E216" s="10">
        <v>3.8</v>
      </c>
      <c r="F216" s="43">
        <v>520000</v>
      </c>
      <c r="G216" s="1"/>
    </row>
    <row r="217" spans="2:7" ht="16">
      <c r="B217" s="7" t="s">
        <v>104</v>
      </c>
      <c r="C217" s="7" t="s">
        <v>1044</v>
      </c>
      <c r="D217" s="7" t="s">
        <v>35</v>
      </c>
      <c r="E217" s="10">
        <v>4</v>
      </c>
      <c r="F217" s="101">
        <v>560000</v>
      </c>
      <c r="G217" s="1"/>
    </row>
    <row r="218" spans="2:7" ht="16">
      <c r="B218" s="7" t="s">
        <v>104</v>
      </c>
      <c r="C218" s="7" t="s">
        <v>1043</v>
      </c>
      <c r="D218" s="7" t="s">
        <v>151</v>
      </c>
      <c r="E218" s="10">
        <v>0.4</v>
      </c>
      <c r="F218" s="43">
        <v>520000</v>
      </c>
      <c r="G218" s="1"/>
    </row>
    <row r="219" spans="2:7" ht="16">
      <c r="B219" s="7" t="s">
        <v>104</v>
      </c>
      <c r="C219" s="7" t="s">
        <v>1043</v>
      </c>
      <c r="D219" s="7" t="s">
        <v>285</v>
      </c>
      <c r="E219" s="10">
        <v>0.4</v>
      </c>
      <c r="F219" s="43">
        <v>530000</v>
      </c>
      <c r="G219" s="1"/>
    </row>
    <row r="220" spans="2:7" ht="16">
      <c r="B220" s="7" t="s">
        <v>104</v>
      </c>
      <c r="C220" s="7" t="s">
        <v>1044</v>
      </c>
      <c r="D220" s="7" t="s">
        <v>152</v>
      </c>
      <c r="E220" s="10">
        <v>0.85</v>
      </c>
      <c r="F220" s="101">
        <v>550000</v>
      </c>
      <c r="G220" s="1"/>
    </row>
    <row r="221" spans="2:7" ht="16">
      <c r="B221" s="7" t="s">
        <v>104</v>
      </c>
      <c r="C221" s="7" t="s">
        <v>1043</v>
      </c>
      <c r="D221" s="7" t="s">
        <v>121</v>
      </c>
      <c r="E221" s="10">
        <v>6.0000000000000001E-3</v>
      </c>
      <c r="F221" s="43">
        <v>490000</v>
      </c>
      <c r="G221" s="1"/>
    </row>
    <row r="222" spans="2:7" ht="16">
      <c r="B222" s="7" t="s">
        <v>104</v>
      </c>
      <c r="C222" s="7" t="s">
        <v>1043</v>
      </c>
      <c r="D222" s="7" t="s">
        <v>36</v>
      </c>
      <c r="E222" s="10">
        <v>0.17</v>
      </c>
      <c r="F222" s="43">
        <v>490000</v>
      </c>
      <c r="G222" s="1"/>
    </row>
    <row r="223" spans="2:7" ht="16">
      <c r="B223" s="7" t="s">
        <v>104</v>
      </c>
      <c r="C223" s="7" t="s">
        <v>1043</v>
      </c>
      <c r="D223" s="7" t="s">
        <v>122</v>
      </c>
      <c r="E223" s="10">
        <v>3.3000000000000002E-2</v>
      </c>
      <c r="F223" s="43">
        <v>520000</v>
      </c>
      <c r="G223" s="1"/>
    </row>
    <row r="224" spans="2:7" ht="16">
      <c r="B224" s="7" t="s">
        <v>104</v>
      </c>
      <c r="C224" s="7" t="s">
        <v>1043</v>
      </c>
      <c r="D224" s="7" t="s">
        <v>167</v>
      </c>
      <c r="E224" s="10">
        <v>1.5</v>
      </c>
      <c r="F224" s="43">
        <v>520000</v>
      </c>
      <c r="G224" s="1"/>
    </row>
    <row r="225" spans="2:7" ht="16">
      <c r="B225" s="7" t="s">
        <v>104</v>
      </c>
      <c r="C225" s="7" t="s">
        <v>1044</v>
      </c>
      <c r="D225" s="7" t="s">
        <v>167</v>
      </c>
      <c r="E225" s="10">
        <v>2</v>
      </c>
      <c r="F225" s="101">
        <v>560000</v>
      </c>
      <c r="G225" s="1"/>
    </row>
    <row r="226" spans="2:7" ht="16">
      <c r="B226" s="7" t="s">
        <v>104</v>
      </c>
      <c r="C226" s="7" t="s">
        <v>1043</v>
      </c>
      <c r="D226" s="7" t="s">
        <v>37</v>
      </c>
      <c r="E226" s="10">
        <v>3.3</v>
      </c>
      <c r="F226" s="43">
        <v>520000</v>
      </c>
      <c r="G226" s="1"/>
    </row>
    <row r="227" spans="2:7" ht="16">
      <c r="B227" s="7" t="s">
        <v>104</v>
      </c>
      <c r="C227" s="7" t="s">
        <v>1044</v>
      </c>
      <c r="D227" s="7" t="s">
        <v>37</v>
      </c>
      <c r="E227" s="10">
        <v>3.4</v>
      </c>
      <c r="F227" s="101">
        <v>560000</v>
      </c>
      <c r="G227" s="1"/>
    </row>
    <row r="228" spans="2:7" ht="16">
      <c r="B228" s="7" t="s">
        <v>104</v>
      </c>
      <c r="C228" s="7" t="s">
        <v>1043</v>
      </c>
      <c r="D228" s="7" t="s">
        <v>38</v>
      </c>
      <c r="E228" s="10">
        <v>4.7</v>
      </c>
      <c r="F228" s="43">
        <v>520000</v>
      </c>
      <c r="G228" s="1"/>
    </row>
    <row r="229" spans="2:7" ht="16">
      <c r="B229" s="7" t="s">
        <v>104</v>
      </c>
      <c r="C229" s="7" t="s">
        <v>1044</v>
      </c>
      <c r="D229" s="7" t="s">
        <v>38</v>
      </c>
      <c r="E229" s="10">
        <v>5.3</v>
      </c>
      <c r="F229" s="101">
        <v>560000</v>
      </c>
      <c r="G229" s="1"/>
    </row>
    <row r="230" spans="2:7" ht="16">
      <c r="B230" s="7" t="s">
        <v>104</v>
      </c>
      <c r="C230" s="7" t="s">
        <v>1043</v>
      </c>
      <c r="D230" s="7" t="s">
        <v>39</v>
      </c>
      <c r="E230" s="10">
        <v>1.45</v>
      </c>
      <c r="F230" s="43">
        <v>520000</v>
      </c>
      <c r="G230" s="1"/>
    </row>
    <row r="231" spans="2:7" ht="16">
      <c r="B231" s="7" t="s">
        <v>104</v>
      </c>
      <c r="C231" s="7" t="s">
        <v>1044</v>
      </c>
      <c r="D231" s="7" t="s">
        <v>39</v>
      </c>
      <c r="E231" s="10">
        <v>0.41499999999999998</v>
      </c>
      <c r="F231" s="101">
        <v>560000</v>
      </c>
      <c r="G231" s="1"/>
    </row>
    <row r="232" spans="2:7" ht="16">
      <c r="B232" s="7" t="s">
        <v>104</v>
      </c>
      <c r="C232" s="7" t="s">
        <v>1043</v>
      </c>
      <c r="D232" s="7" t="s">
        <v>40</v>
      </c>
      <c r="E232" s="10">
        <v>0.5</v>
      </c>
      <c r="F232" s="43">
        <v>520000</v>
      </c>
      <c r="G232" s="1"/>
    </row>
    <row r="233" spans="2:7" ht="16">
      <c r="B233" s="7" t="s">
        <v>104</v>
      </c>
      <c r="C233" s="7" t="s">
        <v>1043</v>
      </c>
      <c r="D233" s="7" t="s">
        <v>123</v>
      </c>
      <c r="E233" s="10">
        <v>0.8</v>
      </c>
      <c r="F233" s="43">
        <v>520000</v>
      </c>
      <c r="G233" s="1"/>
    </row>
    <row r="234" spans="2:7" ht="16">
      <c r="B234" s="7" t="s">
        <v>104</v>
      </c>
      <c r="C234" s="7" t="s">
        <v>1043</v>
      </c>
      <c r="D234" s="7" t="s">
        <v>41</v>
      </c>
      <c r="E234" s="10">
        <v>0.5</v>
      </c>
      <c r="F234" s="43">
        <v>530000</v>
      </c>
      <c r="G234" s="1"/>
    </row>
    <row r="235" spans="2:7" ht="16">
      <c r="B235" s="7" t="s">
        <v>104</v>
      </c>
      <c r="C235" s="7" t="s">
        <v>1043</v>
      </c>
      <c r="D235" s="7" t="s">
        <v>220</v>
      </c>
      <c r="E235" s="10" t="s">
        <v>1087</v>
      </c>
      <c r="F235" s="19">
        <v>2100</v>
      </c>
      <c r="G235" s="1"/>
    </row>
    <row r="236" spans="2:7" ht="16">
      <c r="B236" s="7" t="s">
        <v>104</v>
      </c>
      <c r="C236" s="7" t="s">
        <v>1043</v>
      </c>
      <c r="D236" s="7" t="s">
        <v>168</v>
      </c>
      <c r="E236" s="10">
        <v>0.03</v>
      </c>
      <c r="F236" s="43">
        <v>490000</v>
      </c>
      <c r="G236" s="1"/>
    </row>
    <row r="237" spans="2:7" ht="16">
      <c r="B237" s="7" t="s">
        <v>104</v>
      </c>
      <c r="C237" s="7" t="s">
        <v>1043</v>
      </c>
      <c r="D237" s="7" t="s">
        <v>42</v>
      </c>
      <c r="E237" s="10">
        <v>2.2000000000000002</v>
      </c>
      <c r="F237" s="43">
        <v>520000</v>
      </c>
      <c r="G237" s="1"/>
    </row>
    <row r="238" spans="2:7" ht="16">
      <c r="B238" s="7" t="s">
        <v>104</v>
      </c>
      <c r="C238" s="7" t="s">
        <v>1044</v>
      </c>
      <c r="D238" s="7" t="s">
        <v>42</v>
      </c>
      <c r="E238" s="10">
        <v>2.0699999999999998</v>
      </c>
      <c r="F238" s="101">
        <v>550000</v>
      </c>
      <c r="G238" s="1"/>
    </row>
    <row r="239" spans="2:7" ht="16">
      <c r="B239" s="7" t="s">
        <v>104</v>
      </c>
      <c r="C239" s="7" t="s">
        <v>1043</v>
      </c>
      <c r="D239" s="7" t="s">
        <v>64</v>
      </c>
      <c r="E239" s="10">
        <v>2.2000000000000002</v>
      </c>
      <c r="F239" s="43">
        <v>520000</v>
      </c>
      <c r="G239" s="1"/>
    </row>
    <row r="240" spans="2:7" ht="16">
      <c r="B240" s="7" t="s">
        <v>104</v>
      </c>
      <c r="C240" s="7" t="s">
        <v>1044</v>
      </c>
      <c r="D240" s="7" t="s">
        <v>64</v>
      </c>
      <c r="E240" s="10">
        <v>2</v>
      </c>
      <c r="F240" s="101">
        <v>550000</v>
      </c>
      <c r="G240" s="1"/>
    </row>
    <row r="241" spans="2:7" ht="16">
      <c r="B241" s="7" t="s">
        <v>104</v>
      </c>
      <c r="C241" s="7" t="s">
        <v>1043</v>
      </c>
      <c r="D241" s="7" t="s">
        <v>43</v>
      </c>
      <c r="E241" s="10">
        <v>3.2</v>
      </c>
      <c r="F241" s="43">
        <v>520000</v>
      </c>
      <c r="G241" s="1"/>
    </row>
    <row r="242" spans="2:7" ht="16">
      <c r="B242" s="7" t="s">
        <v>104</v>
      </c>
      <c r="C242" s="7" t="s">
        <v>1044</v>
      </c>
      <c r="D242" s="7" t="s">
        <v>43</v>
      </c>
      <c r="E242" s="10">
        <v>2.1</v>
      </c>
      <c r="F242" s="101">
        <v>550000</v>
      </c>
      <c r="G242" s="1"/>
    </row>
    <row r="243" spans="2:7" ht="16">
      <c r="B243" s="7" t="s">
        <v>104</v>
      </c>
      <c r="C243" s="7" t="s">
        <v>1043</v>
      </c>
      <c r="D243" s="7" t="s">
        <v>340</v>
      </c>
      <c r="E243" s="10">
        <v>1</v>
      </c>
      <c r="F243" s="43">
        <v>520000</v>
      </c>
      <c r="G243" s="1"/>
    </row>
    <row r="244" spans="2:7" ht="16">
      <c r="B244" s="7" t="s">
        <v>104</v>
      </c>
      <c r="C244" s="7" t="s">
        <v>1044</v>
      </c>
      <c r="D244" s="7" t="s">
        <v>340</v>
      </c>
      <c r="E244" s="10">
        <v>2</v>
      </c>
      <c r="F244" s="101">
        <v>550000</v>
      </c>
      <c r="G244" s="1"/>
    </row>
    <row r="245" spans="2:7" ht="16">
      <c r="B245" s="7" t="s">
        <v>104</v>
      </c>
      <c r="C245" s="7" t="s">
        <v>1043</v>
      </c>
      <c r="D245" s="7" t="s">
        <v>44</v>
      </c>
      <c r="E245" s="10">
        <v>4</v>
      </c>
      <c r="F245" s="43">
        <v>520000</v>
      </c>
      <c r="G245" s="1"/>
    </row>
    <row r="246" spans="2:7" ht="16">
      <c r="B246" s="7" t="s">
        <v>104</v>
      </c>
      <c r="C246" s="7" t="s">
        <v>1044</v>
      </c>
      <c r="D246" s="7" t="s">
        <v>44</v>
      </c>
      <c r="E246" s="10">
        <v>3.5</v>
      </c>
      <c r="F246" s="101">
        <v>550000</v>
      </c>
      <c r="G246" s="1"/>
    </row>
    <row r="247" spans="2:7" ht="16">
      <c r="B247" s="7" t="s">
        <v>104</v>
      </c>
      <c r="C247" s="7" t="s">
        <v>1043</v>
      </c>
      <c r="D247" s="7" t="s">
        <v>142</v>
      </c>
      <c r="E247" s="10">
        <v>5.3999999999999999E-2</v>
      </c>
      <c r="F247" s="43">
        <v>490000</v>
      </c>
      <c r="G247" s="1"/>
    </row>
    <row r="248" spans="2:7" ht="16">
      <c r="B248" s="7" t="s">
        <v>104</v>
      </c>
      <c r="C248" s="7" t="s">
        <v>1043</v>
      </c>
      <c r="D248" s="7" t="s">
        <v>45</v>
      </c>
      <c r="E248" s="10">
        <v>4</v>
      </c>
      <c r="F248" s="43">
        <v>520000</v>
      </c>
      <c r="G248" s="1"/>
    </row>
    <row r="249" spans="2:7" ht="16">
      <c r="B249" s="7" t="s">
        <v>104</v>
      </c>
      <c r="C249" s="7" t="s">
        <v>1044</v>
      </c>
      <c r="D249" s="7" t="s">
        <v>45</v>
      </c>
      <c r="E249" s="10">
        <v>3.5</v>
      </c>
      <c r="F249" s="101">
        <v>550000</v>
      </c>
      <c r="G249" s="1"/>
    </row>
    <row r="250" spans="2:7" ht="16">
      <c r="B250" s="7" t="s">
        <v>104</v>
      </c>
      <c r="C250" s="7" t="s">
        <v>1043</v>
      </c>
      <c r="D250" s="7" t="s">
        <v>46</v>
      </c>
      <c r="E250" s="10">
        <v>1.4</v>
      </c>
      <c r="F250" s="43">
        <v>530000</v>
      </c>
      <c r="G250" s="1"/>
    </row>
    <row r="251" spans="2:7" ht="16">
      <c r="B251" s="7" t="s">
        <v>104</v>
      </c>
      <c r="C251" s="7" t="s">
        <v>1044</v>
      </c>
      <c r="D251" s="7" t="s">
        <v>46</v>
      </c>
      <c r="E251" s="10">
        <v>1</v>
      </c>
      <c r="F251" s="43">
        <v>560000</v>
      </c>
      <c r="G251" s="1"/>
    </row>
    <row r="252" spans="2:7" ht="16">
      <c r="B252" s="7" t="s">
        <v>104</v>
      </c>
      <c r="C252" s="7" t="s">
        <v>1043</v>
      </c>
      <c r="D252" s="7" t="s">
        <v>157</v>
      </c>
      <c r="E252" s="10">
        <v>1</v>
      </c>
      <c r="F252" s="43">
        <v>530000</v>
      </c>
      <c r="G252" s="1"/>
    </row>
    <row r="253" spans="2:7" ht="16">
      <c r="B253" s="7" t="s">
        <v>104</v>
      </c>
      <c r="C253" s="7" t="s">
        <v>1043</v>
      </c>
      <c r="D253" s="7" t="s">
        <v>124</v>
      </c>
      <c r="E253" s="10">
        <v>1</v>
      </c>
      <c r="F253" s="43">
        <v>530000</v>
      </c>
      <c r="G253" s="1"/>
    </row>
    <row r="254" spans="2:7" ht="16">
      <c r="B254" s="7" t="s">
        <v>104</v>
      </c>
      <c r="C254" s="7" t="s">
        <v>1043</v>
      </c>
      <c r="D254" s="7" t="s">
        <v>344</v>
      </c>
      <c r="E254" s="10">
        <v>1.02</v>
      </c>
      <c r="F254" s="43">
        <v>620000</v>
      </c>
      <c r="G254" s="1"/>
    </row>
    <row r="255" spans="2:7" ht="16">
      <c r="B255" s="7" t="s">
        <v>104</v>
      </c>
      <c r="C255" s="7" t="s">
        <v>1043</v>
      </c>
      <c r="D255" s="7" t="s">
        <v>169</v>
      </c>
      <c r="E255" s="10">
        <v>0.3</v>
      </c>
      <c r="F255" s="43">
        <v>520000</v>
      </c>
      <c r="G255" s="1"/>
    </row>
    <row r="256" spans="2:7" ht="16">
      <c r="B256" s="7" t="s">
        <v>104</v>
      </c>
      <c r="C256" s="7" t="s">
        <v>960</v>
      </c>
      <c r="D256" s="7" t="s">
        <v>186</v>
      </c>
      <c r="E256" s="10">
        <v>0.6</v>
      </c>
      <c r="F256" s="43">
        <v>570000</v>
      </c>
      <c r="G256" s="1"/>
    </row>
    <row r="257" spans="2:7" ht="16">
      <c r="B257" s="7" t="s">
        <v>104</v>
      </c>
      <c r="C257" s="7" t="s">
        <v>1043</v>
      </c>
      <c r="D257" s="7" t="s">
        <v>186</v>
      </c>
      <c r="E257" s="10">
        <v>1.1000000000000001</v>
      </c>
      <c r="F257" s="43">
        <v>500000</v>
      </c>
      <c r="G257" s="1"/>
    </row>
    <row r="258" spans="2:7" ht="16">
      <c r="B258" s="7" t="s">
        <v>104</v>
      </c>
      <c r="C258" s="7" t="s">
        <v>1043</v>
      </c>
      <c r="D258" s="7" t="s">
        <v>125</v>
      </c>
      <c r="E258" s="10">
        <v>2.1999999999999999E-2</v>
      </c>
      <c r="F258" s="43">
        <v>500000</v>
      </c>
      <c r="G258" s="1"/>
    </row>
    <row r="259" spans="2:7" ht="16">
      <c r="B259" s="7" t="s">
        <v>104</v>
      </c>
      <c r="C259" s="7" t="s">
        <v>960</v>
      </c>
      <c r="D259" s="7" t="s">
        <v>170</v>
      </c>
      <c r="E259" s="10">
        <v>0.25</v>
      </c>
      <c r="F259" s="43">
        <v>530000</v>
      </c>
      <c r="G259" s="1"/>
    </row>
    <row r="260" spans="2:7" ht="16">
      <c r="B260" s="7" t="s">
        <v>104</v>
      </c>
      <c r="C260" s="7" t="s">
        <v>960</v>
      </c>
      <c r="D260" s="7" t="s">
        <v>126</v>
      </c>
      <c r="E260" s="10">
        <v>4.5999999999999999E-2</v>
      </c>
      <c r="F260" s="43">
        <v>530000</v>
      </c>
      <c r="G260" s="1"/>
    </row>
    <row r="261" spans="2:7" ht="16">
      <c r="B261" s="7" t="s">
        <v>104</v>
      </c>
      <c r="C261" s="7" t="s">
        <v>1043</v>
      </c>
      <c r="D261" s="7" t="s">
        <v>788</v>
      </c>
      <c r="E261" s="10">
        <v>1.3</v>
      </c>
      <c r="F261" s="43">
        <v>650000</v>
      </c>
      <c r="G261" s="1"/>
    </row>
    <row r="262" spans="2:7" ht="16">
      <c r="B262" s="7" t="s">
        <v>104</v>
      </c>
      <c r="C262" s="7" t="s">
        <v>1043</v>
      </c>
      <c r="D262" s="7" t="s">
        <v>362</v>
      </c>
      <c r="E262" s="10">
        <v>0.4</v>
      </c>
      <c r="F262" s="43">
        <v>650000</v>
      </c>
      <c r="G262" s="1"/>
    </row>
    <row r="263" spans="2:7" ht="16">
      <c r="B263" s="7" t="s">
        <v>104</v>
      </c>
      <c r="C263" s="7" t="s">
        <v>1043</v>
      </c>
      <c r="D263" s="7" t="s">
        <v>363</v>
      </c>
      <c r="E263" s="10">
        <v>2</v>
      </c>
      <c r="F263" s="43">
        <v>650000</v>
      </c>
      <c r="G263" s="1"/>
    </row>
    <row r="264" spans="2:7" ht="16">
      <c r="B264" s="7" t="s">
        <v>104</v>
      </c>
      <c r="C264" s="7" t="s">
        <v>1043</v>
      </c>
      <c r="D264" s="7" t="s">
        <v>839</v>
      </c>
      <c r="E264" s="10">
        <v>3.5</v>
      </c>
      <c r="F264" s="43">
        <v>530000</v>
      </c>
      <c r="G264" s="1"/>
    </row>
    <row r="265" spans="2:7" ht="16">
      <c r="B265" s="7" t="s">
        <v>104</v>
      </c>
      <c r="C265" s="7" t="s">
        <v>1044</v>
      </c>
      <c r="D265" s="7" t="s">
        <v>839</v>
      </c>
      <c r="E265" s="10">
        <v>3.3</v>
      </c>
      <c r="F265" s="101">
        <v>560000</v>
      </c>
      <c r="G265" s="1"/>
    </row>
    <row r="266" spans="2:7" ht="16">
      <c r="B266" s="7" t="s">
        <v>104</v>
      </c>
      <c r="C266" s="7" t="s">
        <v>1043</v>
      </c>
      <c r="D266" s="7" t="s">
        <v>50</v>
      </c>
      <c r="E266" s="10">
        <v>5.5</v>
      </c>
      <c r="F266" s="43">
        <v>530000</v>
      </c>
      <c r="G266" s="1"/>
    </row>
    <row r="267" spans="2:7" ht="16">
      <c r="B267" s="7" t="s">
        <v>104</v>
      </c>
      <c r="C267" s="7" t="s">
        <v>1044</v>
      </c>
      <c r="D267" s="7" t="s">
        <v>50</v>
      </c>
      <c r="E267" s="10">
        <v>4</v>
      </c>
      <c r="F267" s="101">
        <v>580000</v>
      </c>
      <c r="G267" s="1"/>
    </row>
    <row r="268" spans="2:7" ht="16">
      <c r="B268" s="7" t="s">
        <v>104</v>
      </c>
      <c r="C268" s="7" t="s">
        <v>960</v>
      </c>
      <c r="D268" s="7" t="s">
        <v>50</v>
      </c>
      <c r="E268" s="10">
        <v>0.4</v>
      </c>
      <c r="F268" s="19">
        <v>580000</v>
      </c>
      <c r="G268" s="1"/>
    </row>
    <row r="269" spans="2:7" ht="16">
      <c r="B269" s="7" t="s">
        <v>104</v>
      </c>
      <c r="C269" s="7" t="s">
        <v>1043</v>
      </c>
      <c r="D269" s="7" t="s">
        <v>51</v>
      </c>
      <c r="E269" s="10">
        <v>6</v>
      </c>
      <c r="F269" s="43">
        <v>520000</v>
      </c>
      <c r="G269" s="1"/>
    </row>
    <row r="270" spans="2:7" ht="16">
      <c r="B270" s="7" t="s">
        <v>104</v>
      </c>
      <c r="C270" s="7" t="s">
        <v>1044</v>
      </c>
      <c r="D270" s="7" t="s">
        <v>51</v>
      </c>
      <c r="E270" s="10">
        <v>4</v>
      </c>
      <c r="F270" s="101">
        <v>560000</v>
      </c>
      <c r="G270" s="1"/>
    </row>
    <row r="271" spans="2:7" ht="16">
      <c r="B271" s="7" t="s">
        <v>104</v>
      </c>
      <c r="C271" s="7" t="s">
        <v>1043</v>
      </c>
      <c r="D271" s="7" t="s">
        <v>136</v>
      </c>
      <c r="E271" s="10">
        <v>3.3</v>
      </c>
      <c r="F271" s="43">
        <v>520000</v>
      </c>
      <c r="G271" s="1"/>
    </row>
    <row r="272" spans="2:7" ht="16">
      <c r="B272" s="7" t="s">
        <v>104</v>
      </c>
      <c r="C272" s="7" t="s">
        <v>1044</v>
      </c>
      <c r="D272" s="7" t="s">
        <v>136</v>
      </c>
      <c r="E272" s="10">
        <v>2.5</v>
      </c>
      <c r="F272" s="101">
        <v>560000</v>
      </c>
      <c r="G272" s="1"/>
    </row>
    <row r="273" spans="2:7" ht="16">
      <c r="B273" s="7" t="s">
        <v>104</v>
      </c>
      <c r="C273" s="7" t="s">
        <v>1043</v>
      </c>
      <c r="D273" s="7" t="s">
        <v>171</v>
      </c>
      <c r="E273" s="10">
        <v>1</v>
      </c>
      <c r="F273" s="101">
        <v>530000</v>
      </c>
      <c r="G273" s="1"/>
    </row>
    <row r="274" spans="2:7" ht="16">
      <c r="B274" s="7" t="s">
        <v>104</v>
      </c>
      <c r="C274" s="7" t="s">
        <v>1043</v>
      </c>
      <c r="D274" s="7" t="s">
        <v>371</v>
      </c>
      <c r="E274" s="10">
        <v>1.56</v>
      </c>
      <c r="F274" s="43">
        <v>650000</v>
      </c>
      <c r="G274" s="1"/>
    </row>
    <row r="275" spans="2:7" ht="16">
      <c r="B275" s="7" t="s">
        <v>104</v>
      </c>
      <c r="C275" s="7" t="s">
        <v>1043</v>
      </c>
      <c r="D275" s="7" t="s">
        <v>373</v>
      </c>
      <c r="E275" s="10">
        <v>1.3</v>
      </c>
      <c r="F275" s="43">
        <v>650000</v>
      </c>
      <c r="G275" s="1"/>
    </row>
    <row r="276" spans="2:7" ht="16">
      <c r="B276" s="7" t="s">
        <v>104</v>
      </c>
      <c r="C276" s="7" t="s">
        <v>1043</v>
      </c>
      <c r="D276" s="7" t="s">
        <v>65</v>
      </c>
      <c r="E276" s="10">
        <v>1.1000000000000001</v>
      </c>
      <c r="F276" s="43">
        <v>540000</v>
      </c>
      <c r="G276" s="1"/>
    </row>
    <row r="277" spans="2:7" ht="16">
      <c r="B277" s="7" t="s">
        <v>104</v>
      </c>
      <c r="C277" s="7" t="s">
        <v>1044</v>
      </c>
      <c r="D277" s="7" t="s">
        <v>65</v>
      </c>
      <c r="E277" s="10">
        <v>2.2000000000000002</v>
      </c>
      <c r="F277" s="101">
        <v>580000</v>
      </c>
      <c r="G277" s="1"/>
    </row>
    <row r="278" spans="2:7" ht="16">
      <c r="B278" s="52" t="s">
        <v>104</v>
      </c>
      <c r="C278" s="115" t="s">
        <v>1043</v>
      </c>
      <c r="D278" s="115" t="s">
        <v>388</v>
      </c>
      <c r="E278" s="116">
        <v>0.3</v>
      </c>
      <c r="F278" s="43">
        <v>650000</v>
      </c>
      <c r="G278" s="1"/>
    </row>
    <row r="279" spans="2:7" ht="16">
      <c r="B279" s="52" t="s">
        <v>104</v>
      </c>
      <c r="C279" s="115" t="s">
        <v>1043</v>
      </c>
      <c r="D279" s="115" t="s">
        <v>389</v>
      </c>
      <c r="E279" s="116">
        <v>0.3</v>
      </c>
      <c r="F279" s="43">
        <v>650000</v>
      </c>
      <c r="G279" s="1"/>
    </row>
    <row r="280" spans="2:7" ht="16">
      <c r="B280" s="52" t="s">
        <v>104</v>
      </c>
      <c r="C280" s="115" t="s">
        <v>1043</v>
      </c>
      <c r="D280" s="115" t="s">
        <v>390</v>
      </c>
      <c r="E280" s="116">
        <v>0.5</v>
      </c>
      <c r="F280" s="43">
        <v>650000</v>
      </c>
      <c r="G280" s="1"/>
    </row>
    <row r="281" spans="2:7" ht="16">
      <c r="B281" s="52" t="s">
        <v>104</v>
      </c>
      <c r="C281" s="115" t="s">
        <v>1043</v>
      </c>
      <c r="D281" s="115" t="s">
        <v>1136</v>
      </c>
      <c r="E281" s="116">
        <v>1.25</v>
      </c>
      <c r="F281" s="43">
        <v>650000</v>
      </c>
      <c r="G281" s="1"/>
    </row>
    <row r="282" spans="2:7" ht="16">
      <c r="B282" s="7" t="s">
        <v>104</v>
      </c>
      <c r="C282" s="7" t="s">
        <v>1043</v>
      </c>
      <c r="D282" s="7" t="s">
        <v>52</v>
      </c>
      <c r="E282" s="10">
        <v>0.1</v>
      </c>
      <c r="F282" s="43">
        <v>500000</v>
      </c>
      <c r="G282" s="1"/>
    </row>
    <row r="283" spans="2:7" ht="16">
      <c r="B283" s="52" t="s">
        <v>104</v>
      </c>
      <c r="C283" s="115" t="s">
        <v>1043</v>
      </c>
      <c r="D283" s="115" t="s">
        <v>401</v>
      </c>
      <c r="E283" s="116">
        <v>0.8</v>
      </c>
      <c r="F283" s="117">
        <v>700000</v>
      </c>
      <c r="G283" s="1"/>
    </row>
    <row r="284" spans="2:7" ht="16">
      <c r="B284" s="52" t="s">
        <v>104</v>
      </c>
      <c r="C284" s="115" t="s">
        <v>1043</v>
      </c>
      <c r="D284" s="115" t="s">
        <v>418</v>
      </c>
      <c r="E284" s="116">
        <v>1</v>
      </c>
      <c r="F284" s="43">
        <v>650000</v>
      </c>
      <c r="G284" s="1"/>
    </row>
    <row r="285" spans="2:7" ht="16">
      <c r="B285" s="7" t="s">
        <v>104</v>
      </c>
      <c r="C285" s="7" t="s">
        <v>1043</v>
      </c>
      <c r="D285" s="7" t="s">
        <v>959</v>
      </c>
      <c r="E285" s="10">
        <v>1.8</v>
      </c>
      <c r="F285" s="43">
        <v>530000</v>
      </c>
      <c r="G285" s="1"/>
    </row>
    <row r="286" spans="2:7" ht="16">
      <c r="B286" s="7" t="s">
        <v>104</v>
      </c>
      <c r="C286" s="7" t="s">
        <v>1044</v>
      </c>
      <c r="D286" s="7" t="s">
        <v>959</v>
      </c>
      <c r="E286" s="10">
        <v>0.9</v>
      </c>
      <c r="F286" s="101">
        <v>560000</v>
      </c>
      <c r="G286" s="1"/>
    </row>
    <row r="287" spans="2:7" ht="16">
      <c r="B287" s="7" t="s">
        <v>104</v>
      </c>
      <c r="C287" s="7" t="s">
        <v>1043</v>
      </c>
      <c r="D287" s="7" t="s">
        <v>203</v>
      </c>
      <c r="E287" s="10">
        <v>1.5</v>
      </c>
      <c r="F287" s="43">
        <v>520000</v>
      </c>
      <c r="G287" s="1"/>
    </row>
    <row r="288" spans="2:7" ht="16">
      <c r="B288" s="7" t="s">
        <v>104</v>
      </c>
      <c r="C288" s="7" t="s">
        <v>1043</v>
      </c>
      <c r="D288" s="7" t="s">
        <v>847</v>
      </c>
      <c r="E288" s="10">
        <v>2.1</v>
      </c>
      <c r="F288" s="43">
        <v>520000</v>
      </c>
      <c r="G288" s="1"/>
    </row>
    <row r="289" spans="2:7" ht="16">
      <c r="B289" s="7" t="s">
        <v>104</v>
      </c>
      <c r="C289" s="7" t="s">
        <v>1044</v>
      </c>
      <c r="D289" s="7" t="s">
        <v>847</v>
      </c>
      <c r="E289" s="10">
        <v>0.12</v>
      </c>
      <c r="F289" s="101">
        <v>550000</v>
      </c>
      <c r="G289" s="1"/>
    </row>
    <row r="290" spans="2:7" ht="16">
      <c r="B290" s="7" t="s">
        <v>104</v>
      </c>
      <c r="C290" s="7" t="s">
        <v>960</v>
      </c>
      <c r="D290" s="7" t="s">
        <v>847</v>
      </c>
      <c r="E290" s="10">
        <v>0.6</v>
      </c>
      <c r="F290" s="43">
        <v>550000</v>
      </c>
      <c r="G290" s="1"/>
    </row>
    <row r="291" spans="2:7" ht="16">
      <c r="B291" s="52" t="s">
        <v>104</v>
      </c>
      <c r="C291" s="115" t="s">
        <v>1043</v>
      </c>
      <c r="D291" s="115" t="s">
        <v>432</v>
      </c>
      <c r="E291" s="116">
        <v>0.55000000000000004</v>
      </c>
      <c r="F291" s="43">
        <v>650000</v>
      </c>
      <c r="G291" s="1"/>
    </row>
    <row r="292" spans="2:7" ht="16">
      <c r="B292" s="52" t="s">
        <v>104</v>
      </c>
      <c r="C292" s="115" t="s">
        <v>1043</v>
      </c>
      <c r="D292" s="115" t="s">
        <v>434</v>
      </c>
      <c r="E292" s="116">
        <v>0.11</v>
      </c>
      <c r="F292" s="43">
        <v>650000</v>
      </c>
      <c r="G292" s="1"/>
    </row>
    <row r="293" spans="2:7" ht="16">
      <c r="B293" s="52" t="s">
        <v>104</v>
      </c>
      <c r="C293" s="115" t="s">
        <v>1043</v>
      </c>
      <c r="D293" s="115" t="s">
        <v>436</v>
      </c>
      <c r="E293" s="116">
        <v>0.7</v>
      </c>
      <c r="F293" s="43">
        <v>650000</v>
      </c>
      <c r="G293" s="1"/>
    </row>
    <row r="294" spans="2:7" ht="16">
      <c r="B294" s="52" t="s">
        <v>104</v>
      </c>
      <c r="C294" s="115" t="s">
        <v>1043</v>
      </c>
      <c r="D294" s="115" t="s">
        <v>446</v>
      </c>
      <c r="E294" s="116">
        <v>1.4650000000000001</v>
      </c>
      <c r="F294" s="43">
        <v>650000</v>
      </c>
      <c r="G294" s="1"/>
    </row>
    <row r="295" spans="2:7" ht="16">
      <c r="B295" s="52" t="s">
        <v>104</v>
      </c>
      <c r="C295" s="115" t="s">
        <v>1043</v>
      </c>
      <c r="D295" s="115" t="s">
        <v>1046</v>
      </c>
      <c r="E295" s="116">
        <v>1.5349999999999999</v>
      </c>
      <c r="F295" s="43">
        <v>650000</v>
      </c>
      <c r="G295" s="1"/>
    </row>
    <row r="296" spans="2:7" ht="16">
      <c r="B296" s="52" t="s">
        <v>104</v>
      </c>
      <c r="C296" s="115" t="s">
        <v>1043</v>
      </c>
      <c r="D296" s="115" t="s">
        <v>447</v>
      </c>
      <c r="E296" s="116">
        <v>1.5</v>
      </c>
      <c r="F296" s="43">
        <v>650000</v>
      </c>
      <c r="G296" s="1"/>
    </row>
    <row r="297" spans="2:7" ht="16">
      <c r="B297" s="52" t="s">
        <v>104</v>
      </c>
      <c r="C297" s="115" t="s">
        <v>1043</v>
      </c>
      <c r="D297" s="115" t="s">
        <v>449</v>
      </c>
      <c r="E297" s="116">
        <v>1.6</v>
      </c>
      <c r="F297" s="43">
        <v>650000</v>
      </c>
      <c r="G297" s="1"/>
    </row>
    <row r="298" spans="2:7" ht="16">
      <c r="B298" s="52" t="s">
        <v>104</v>
      </c>
      <c r="C298" s="115" t="s">
        <v>1043</v>
      </c>
      <c r="D298" s="115" t="s">
        <v>450</v>
      </c>
      <c r="E298" s="116">
        <v>1.6</v>
      </c>
      <c r="F298" s="43">
        <v>650000</v>
      </c>
      <c r="G298" s="1"/>
    </row>
    <row r="299" spans="2:7" ht="16">
      <c r="B299" s="52" t="s">
        <v>104</v>
      </c>
      <c r="C299" s="115" t="s">
        <v>1043</v>
      </c>
      <c r="D299" s="115" t="s">
        <v>457</v>
      </c>
      <c r="E299" s="116">
        <v>1.6</v>
      </c>
      <c r="F299" s="43">
        <v>650000</v>
      </c>
      <c r="G299" s="23"/>
    </row>
    <row r="300" spans="2:7" ht="16">
      <c r="B300" s="52" t="s">
        <v>104</v>
      </c>
      <c r="C300" s="7" t="s">
        <v>960</v>
      </c>
      <c r="D300" s="115" t="s">
        <v>464</v>
      </c>
      <c r="E300" s="116">
        <v>4.5</v>
      </c>
      <c r="F300" s="43">
        <v>550000</v>
      </c>
      <c r="G300" s="23"/>
    </row>
    <row r="301" spans="2:7" ht="16">
      <c r="B301" s="52" t="s">
        <v>104</v>
      </c>
      <c r="C301" s="115" t="s">
        <v>1043</v>
      </c>
      <c r="D301" s="115" t="s">
        <v>466</v>
      </c>
      <c r="E301" s="116">
        <v>1.5</v>
      </c>
      <c r="F301" s="43">
        <v>650000</v>
      </c>
      <c r="G301" s="23"/>
    </row>
    <row r="302" spans="2:7" ht="16">
      <c r="B302" s="52" t="s">
        <v>104</v>
      </c>
      <c r="C302" s="115" t="s">
        <v>1043</v>
      </c>
      <c r="D302" s="115" t="s">
        <v>467</v>
      </c>
      <c r="E302" s="116">
        <v>2</v>
      </c>
      <c r="F302" s="43">
        <v>650000</v>
      </c>
      <c r="G302" s="23"/>
    </row>
    <row r="303" spans="2:7" ht="16">
      <c r="B303" s="52" t="s">
        <v>104</v>
      </c>
      <c r="C303" s="115" t="s">
        <v>1043</v>
      </c>
      <c r="D303" s="115" t="s">
        <v>469</v>
      </c>
      <c r="E303" s="116">
        <v>1</v>
      </c>
      <c r="F303" s="43">
        <v>650000</v>
      </c>
      <c r="G303" s="23"/>
    </row>
    <row r="304" spans="2:7" ht="16">
      <c r="B304" s="7" t="s">
        <v>104</v>
      </c>
      <c r="C304" s="7" t="s">
        <v>1043</v>
      </c>
      <c r="D304" s="7" t="s">
        <v>1122</v>
      </c>
      <c r="E304" s="10">
        <v>5</v>
      </c>
      <c r="F304" s="43">
        <v>530000</v>
      </c>
      <c r="G304" s="23"/>
    </row>
    <row r="305" spans="2:7" ht="16">
      <c r="B305" s="7" t="s">
        <v>104</v>
      </c>
      <c r="C305" s="7" t="s">
        <v>1044</v>
      </c>
      <c r="D305" s="7" t="s">
        <v>1122</v>
      </c>
      <c r="E305" s="10">
        <v>6</v>
      </c>
      <c r="F305" s="101">
        <v>560000</v>
      </c>
      <c r="G305" s="23"/>
    </row>
    <row r="306" spans="2:7" ht="16">
      <c r="B306" s="7" t="s">
        <v>104</v>
      </c>
      <c r="C306" s="7" t="s">
        <v>1043</v>
      </c>
      <c r="D306" s="7" t="s">
        <v>1123</v>
      </c>
      <c r="E306" s="10">
        <v>0.83</v>
      </c>
      <c r="F306" s="43">
        <v>530000</v>
      </c>
      <c r="G306" s="23"/>
    </row>
    <row r="307" spans="2:7" ht="16">
      <c r="B307" s="7" t="s">
        <v>104</v>
      </c>
      <c r="C307" s="7" t="s">
        <v>1044</v>
      </c>
      <c r="D307" s="7" t="s">
        <v>1123</v>
      </c>
      <c r="E307" s="10">
        <v>0.8</v>
      </c>
      <c r="F307" s="101">
        <v>560000</v>
      </c>
      <c r="G307" s="23"/>
    </row>
    <row r="308" spans="2:7" ht="16">
      <c r="B308" s="7" t="s">
        <v>104</v>
      </c>
      <c r="C308" s="7" t="s">
        <v>1043</v>
      </c>
      <c r="D308" s="7" t="s">
        <v>1013</v>
      </c>
      <c r="E308" s="10">
        <v>2.1</v>
      </c>
      <c r="F308" s="43">
        <v>530000</v>
      </c>
      <c r="G308" s="23"/>
    </row>
    <row r="309" spans="2:7" ht="16">
      <c r="B309" s="7" t="s">
        <v>104</v>
      </c>
      <c r="C309" s="7" t="s">
        <v>1044</v>
      </c>
      <c r="D309" s="7" t="s">
        <v>1013</v>
      </c>
      <c r="E309" s="10">
        <v>1.8</v>
      </c>
      <c r="F309" s="101">
        <v>560000</v>
      </c>
      <c r="G309" s="23"/>
    </row>
    <row r="310" spans="2:7" ht="16">
      <c r="B310" s="7" t="s">
        <v>104</v>
      </c>
      <c r="C310" s="7" t="s">
        <v>1043</v>
      </c>
      <c r="D310" s="7" t="s">
        <v>473</v>
      </c>
      <c r="E310" s="10">
        <v>3</v>
      </c>
      <c r="F310" s="43">
        <v>530000</v>
      </c>
      <c r="G310" s="23"/>
    </row>
    <row r="311" spans="2:7" ht="16">
      <c r="B311" s="7" t="s">
        <v>104</v>
      </c>
      <c r="C311" s="7" t="s">
        <v>1044</v>
      </c>
      <c r="D311" s="7" t="s">
        <v>473</v>
      </c>
      <c r="E311" s="10">
        <v>3</v>
      </c>
      <c r="F311" s="101">
        <v>560000</v>
      </c>
      <c r="G311" s="1"/>
    </row>
    <row r="312" spans="2:7" ht="16">
      <c r="B312" s="7" t="s">
        <v>104</v>
      </c>
      <c r="C312" s="7" t="s">
        <v>1043</v>
      </c>
      <c r="D312" s="7" t="s">
        <v>158</v>
      </c>
      <c r="E312" s="10">
        <v>4</v>
      </c>
      <c r="F312" s="43">
        <v>530000</v>
      </c>
      <c r="G312" s="1"/>
    </row>
    <row r="313" spans="2:7" ht="16">
      <c r="B313" s="7" t="s">
        <v>104</v>
      </c>
      <c r="C313" s="7" t="s">
        <v>1044</v>
      </c>
      <c r="D313" s="7" t="s">
        <v>158</v>
      </c>
      <c r="E313" s="10">
        <v>3</v>
      </c>
      <c r="F313" s="101">
        <v>560000</v>
      </c>
      <c r="G313" s="1"/>
    </row>
    <row r="314" spans="2:7" ht="16">
      <c r="B314" s="7" t="s">
        <v>104</v>
      </c>
      <c r="C314" s="7" t="s">
        <v>1043</v>
      </c>
      <c r="D314" s="7" t="s">
        <v>53</v>
      </c>
      <c r="E314" s="10">
        <v>10</v>
      </c>
      <c r="F314" s="19">
        <v>520000</v>
      </c>
      <c r="G314" s="1"/>
    </row>
    <row r="315" spans="2:7" ht="16">
      <c r="B315" s="7" t="s">
        <v>104</v>
      </c>
      <c r="C315" s="7" t="s">
        <v>960</v>
      </c>
      <c r="D315" s="7" t="s">
        <v>53</v>
      </c>
      <c r="E315" s="10">
        <v>0.3</v>
      </c>
      <c r="F315" s="19">
        <v>560000</v>
      </c>
      <c r="G315" s="1"/>
    </row>
    <row r="316" spans="2:7" ht="16">
      <c r="B316" s="7" t="s">
        <v>104</v>
      </c>
      <c r="C316" s="7" t="s">
        <v>1044</v>
      </c>
      <c r="D316" s="7" t="s">
        <v>53</v>
      </c>
      <c r="E316" s="10">
        <v>7</v>
      </c>
      <c r="F316" s="19">
        <v>560000</v>
      </c>
      <c r="G316" s="1"/>
    </row>
    <row r="317" spans="2:7" ht="16">
      <c r="B317" s="7" t="s">
        <v>104</v>
      </c>
      <c r="C317" s="7" t="s">
        <v>1043</v>
      </c>
      <c r="D317" s="7" t="s">
        <v>162</v>
      </c>
      <c r="E317" s="10">
        <v>3.3</v>
      </c>
      <c r="F317" s="19">
        <v>530000</v>
      </c>
      <c r="G317" s="1"/>
    </row>
    <row r="318" spans="2:7" ht="16">
      <c r="B318" s="7" t="s">
        <v>104</v>
      </c>
      <c r="C318" s="7" t="s">
        <v>1043</v>
      </c>
      <c r="D318" s="7" t="s">
        <v>475</v>
      </c>
      <c r="E318" s="10">
        <v>3</v>
      </c>
      <c r="F318" s="19">
        <v>530000</v>
      </c>
      <c r="G318" s="1"/>
    </row>
    <row r="319" spans="2:7" ht="16">
      <c r="B319" s="52" t="s">
        <v>104</v>
      </c>
      <c r="C319" s="115" t="s">
        <v>1043</v>
      </c>
      <c r="D319" s="115" t="s">
        <v>479</v>
      </c>
      <c r="E319" s="116">
        <v>2.2999999999999998</v>
      </c>
      <c r="F319" s="43">
        <v>620000</v>
      </c>
      <c r="G319" s="1"/>
    </row>
    <row r="320" spans="2:7" ht="16">
      <c r="B320" s="52" t="s">
        <v>104</v>
      </c>
      <c r="C320" s="115" t="s">
        <v>1043</v>
      </c>
      <c r="D320" s="115" t="s">
        <v>480</v>
      </c>
      <c r="E320" s="116">
        <v>2.2000000000000002</v>
      </c>
      <c r="F320" s="43">
        <v>650000</v>
      </c>
      <c r="G320" s="1"/>
    </row>
    <row r="321" spans="2:7" ht="16">
      <c r="B321" s="52" t="s">
        <v>104</v>
      </c>
      <c r="C321" s="115" t="s">
        <v>1043</v>
      </c>
      <c r="D321" s="115" t="s">
        <v>482</v>
      </c>
      <c r="E321" s="116">
        <v>2</v>
      </c>
      <c r="F321" s="43">
        <v>650000</v>
      </c>
      <c r="G321" s="1"/>
    </row>
    <row r="322" spans="2:7" ht="16">
      <c r="B322" s="52" t="s">
        <v>104</v>
      </c>
      <c r="C322" s="115" t="s">
        <v>1043</v>
      </c>
      <c r="D322" s="115" t="s">
        <v>493</v>
      </c>
      <c r="E322" s="116">
        <v>2.5</v>
      </c>
      <c r="F322" s="43">
        <v>650000</v>
      </c>
      <c r="G322" s="1"/>
    </row>
    <row r="323" spans="2:7" ht="16">
      <c r="B323" s="52" t="s">
        <v>104</v>
      </c>
      <c r="C323" s="115" t="s">
        <v>1043</v>
      </c>
      <c r="D323" s="115" t="s">
        <v>495</v>
      </c>
      <c r="E323" s="116">
        <v>1.8</v>
      </c>
      <c r="F323" s="43">
        <v>650000</v>
      </c>
      <c r="G323" s="1"/>
    </row>
    <row r="324" spans="2:7" ht="16">
      <c r="B324" s="52" t="s">
        <v>104</v>
      </c>
      <c r="C324" s="115" t="s">
        <v>1043</v>
      </c>
      <c r="D324" s="115" t="s">
        <v>497</v>
      </c>
      <c r="E324" s="116">
        <v>1.7</v>
      </c>
      <c r="F324" s="43">
        <v>650000</v>
      </c>
      <c r="G324" s="1"/>
    </row>
    <row r="325" spans="2:7" ht="16">
      <c r="B325" s="52" t="s">
        <v>104</v>
      </c>
      <c r="C325" s="115" t="s">
        <v>1043</v>
      </c>
      <c r="D325" s="115" t="s">
        <v>1090</v>
      </c>
      <c r="E325" s="116">
        <v>0.2</v>
      </c>
      <c r="F325" s="117">
        <v>550000</v>
      </c>
      <c r="G325" s="1"/>
    </row>
    <row r="326" spans="2:7" ht="16">
      <c r="B326" s="52" t="s">
        <v>104</v>
      </c>
      <c r="C326" s="115" t="s">
        <v>1043</v>
      </c>
      <c r="D326" s="115" t="s">
        <v>507</v>
      </c>
      <c r="E326" s="116">
        <v>0.8</v>
      </c>
      <c r="F326" s="117">
        <v>650000</v>
      </c>
      <c r="G326" s="1"/>
    </row>
    <row r="327" spans="2:7" ht="16">
      <c r="B327" s="7" t="s">
        <v>104</v>
      </c>
      <c r="C327" s="7" t="s">
        <v>1043</v>
      </c>
      <c r="D327" s="7" t="s">
        <v>127</v>
      </c>
      <c r="E327" s="10">
        <v>0.17</v>
      </c>
      <c r="F327" s="19">
        <v>530000</v>
      </c>
      <c r="G327" s="23"/>
    </row>
    <row r="328" spans="2:7" ht="16">
      <c r="B328" s="52" t="s">
        <v>104</v>
      </c>
      <c r="C328" s="115" t="s">
        <v>1043</v>
      </c>
      <c r="D328" s="115" t="s">
        <v>518</v>
      </c>
      <c r="E328" s="116">
        <v>0.14000000000000001</v>
      </c>
      <c r="F328" s="117">
        <v>700000</v>
      </c>
      <c r="G328" s="23"/>
    </row>
    <row r="329" spans="2:7" ht="16">
      <c r="B329" s="52" t="s">
        <v>104</v>
      </c>
      <c r="C329" s="115" t="s">
        <v>1043</v>
      </c>
      <c r="D329" s="115" t="s">
        <v>520</v>
      </c>
      <c r="E329" s="116">
        <v>2</v>
      </c>
      <c r="F329" s="117">
        <v>700000</v>
      </c>
      <c r="G329" s="23"/>
    </row>
    <row r="330" spans="2:7" ht="16">
      <c r="B330" s="7" t="s">
        <v>104</v>
      </c>
      <c r="C330" s="7" t="s">
        <v>1043</v>
      </c>
      <c r="D330" s="7" t="s">
        <v>1076</v>
      </c>
      <c r="E330" s="10">
        <v>1</v>
      </c>
      <c r="F330" s="43">
        <v>530000</v>
      </c>
      <c r="G330" s="23"/>
    </row>
    <row r="331" spans="2:7" ht="16">
      <c r="B331" s="7" t="s">
        <v>104</v>
      </c>
      <c r="C331" s="7" t="s">
        <v>1043</v>
      </c>
      <c r="D331" s="7" t="s">
        <v>966</v>
      </c>
      <c r="E331" s="10">
        <v>5.7</v>
      </c>
      <c r="F331" s="43">
        <v>530000</v>
      </c>
      <c r="G331" s="1"/>
    </row>
    <row r="332" spans="2:7" ht="16">
      <c r="B332" s="7" t="s">
        <v>104</v>
      </c>
      <c r="C332" s="7" t="s">
        <v>1043</v>
      </c>
      <c r="D332" s="7" t="s">
        <v>55</v>
      </c>
      <c r="E332" s="10">
        <v>8</v>
      </c>
      <c r="F332" s="43">
        <v>530000</v>
      </c>
      <c r="G332" s="1"/>
    </row>
    <row r="333" spans="2:7" ht="16">
      <c r="B333" s="7" t="s">
        <v>104</v>
      </c>
      <c r="C333" s="7" t="s">
        <v>960</v>
      </c>
      <c r="D333" s="7" t="s">
        <v>56</v>
      </c>
      <c r="E333" s="10">
        <v>2.2999999999999998</v>
      </c>
      <c r="F333" s="19">
        <v>560000</v>
      </c>
      <c r="G333" s="1"/>
    </row>
    <row r="334" spans="2:7" ht="16">
      <c r="B334" s="7" t="s">
        <v>104</v>
      </c>
      <c r="C334" s="7" t="s">
        <v>1043</v>
      </c>
      <c r="D334" s="7" t="s">
        <v>56</v>
      </c>
      <c r="E334" s="10">
        <v>4</v>
      </c>
      <c r="F334" s="43">
        <v>530000</v>
      </c>
      <c r="G334" s="1"/>
    </row>
    <row r="335" spans="2:7" ht="16">
      <c r="B335" s="7" t="s">
        <v>104</v>
      </c>
      <c r="C335" s="7" t="s">
        <v>1043</v>
      </c>
      <c r="D335" s="7" t="s">
        <v>1058</v>
      </c>
      <c r="E335" s="10">
        <v>1.19</v>
      </c>
      <c r="F335" s="22">
        <v>300000</v>
      </c>
      <c r="G335" s="23" t="s">
        <v>965</v>
      </c>
    </row>
    <row r="336" spans="2:7" ht="16">
      <c r="B336" s="7" t="s">
        <v>104</v>
      </c>
      <c r="C336" s="7" t="s">
        <v>1043</v>
      </c>
      <c r="D336" s="7" t="s">
        <v>1059</v>
      </c>
      <c r="E336" s="10">
        <v>1.145</v>
      </c>
      <c r="F336" s="22">
        <v>300000</v>
      </c>
      <c r="G336" s="23" t="s">
        <v>965</v>
      </c>
    </row>
    <row r="337" spans="2:7" ht="16">
      <c r="B337" s="7" t="s">
        <v>104</v>
      </c>
      <c r="C337" s="7" t="s">
        <v>960</v>
      </c>
      <c r="D337" s="7" t="s">
        <v>57</v>
      </c>
      <c r="E337" s="10">
        <v>2.23</v>
      </c>
      <c r="F337" s="19">
        <v>580000</v>
      </c>
      <c r="G337" s="1"/>
    </row>
    <row r="338" spans="2:7" ht="16">
      <c r="B338" s="7" t="s">
        <v>104</v>
      </c>
      <c r="C338" s="7" t="s">
        <v>1043</v>
      </c>
      <c r="D338" s="7" t="s">
        <v>57</v>
      </c>
      <c r="E338" s="10">
        <v>2.2000000000000002</v>
      </c>
      <c r="F338" s="43">
        <v>530000</v>
      </c>
      <c r="G338" s="1"/>
    </row>
    <row r="339" spans="2:7" ht="16">
      <c r="B339" s="7" t="s">
        <v>104</v>
      </c>
      <c r="C339" s="7" t="s">
        <v>1043</v>
      </c>
      <c r="D339" s="7" t="s">
        <v>534</v>
      </c>
      <c r="E339" s="10">
        <v>3</v>
      </c>
      <c r="F339" s="43">
        <v>510000</v>
      </c>
      <c r="G339" s="1"/>
    </row>
    <row r="340" spans="2:7" ht="16">
      <c r="B340" s="52" t="s">
        <v>104</v>
      </c>
      <c r="C340" s="115" t="s">
        <v>1043</v>
      </c>
      <c r="D340" s="115" t="s">
        <v>543</v>
      </c>
      <c r="E340" s="116">
        <v>1</v>
      </c>
      <c r="F340" s="117">
        <v>720000</v>
      </c>
      <c r="G340" s="1"/>
    </row>
    <row r="341" spans="2:7" ht="16">
      <c r="B341" s="7" t="s">
        <v>104</v>
      </c>
      <c r="C341" s="7" t="s">
        <v>1043</v>
      </c>
      <c r="D341" s="7" t="s">
        <v>557</v>
      </c>
      <c r="E341" s="10">
        <v>2</v>
      </c>
      <c r="F341" s="19">
        <v>680000</v>
      </c>
      <c r="G341" s="1"/>
    </row>
    <row r="342" spans="2:7" ht="16">
      <c r="B342" s="7" t="s">
        <v>104</v>
      </c>
      <c r="C342" s="7" t="s">
        <v>1043</v>
      </c>
      <c r="D342" s="7" t="s">
        <v>559</v>
      </c>
      <c r="E342" s="10">
        <v>1.6</v>
      </c>
      <c r="F342" s="19">
        <v>700000</v>
      </c>
      <c r="G342" s="1"/>
    </row>
    <row r="343" spans="2:7" ht="16">
      <c r="B343" s="7" t="s">
        <v>104</v>
      </c>
      <c r="C343" s="7" t="s">
        <v>1043</v>
      </c>
      <c r="D343" s="7" t="s">
        <v>58</v>
      </c>
      <c r="E343" s="10">
        <v>3</v>
      </c>
      <c r="F343" s="19">
        <v>545000</v>
      </c>
      <c r="G343" s="1"/>
    </row>
    <row r="344" spans="2:7" ht="16">
      <c r="B344" s="7" t="s">
        <v>104</v>
      </c>
      <c r="C344" s="7" t="s">
        <v>1043</v>
      </c>
      <c r="D344" s="7" t="s">
        <v>567</v>
      </c>
      <c r="E344" s="10">
        <v>7</v>
      </c>
      <c r="F344" s="19">
        <v>545000</v>
      </c>
      <c r="G344" s="1"/>
    </row>
    <row r="345" spans="2:7" ht="16">
      <c r="B345" s="7" t="s">
        <v>104</v>
      </c>
      <c r="C345" s="7" t="s">
        <v>1043</v>
      </c>
      <c r="D345" s="7" t="s">
        <v>569</v>
      </c>
      <c r="E345" s="10">
        <v>3.3</v>
      </c>
      <c r="F345" s="19">
        <v>545000</v>
      </c>
      <c r="G345" s="1"/>
    </row>
    <row r="346" spans="2:7" ht="16">
      <c r="B346" s="7" t="s">
        <v>104</v>
      </c>
      <c r="C346" s="7" t="s">
        <v>1043</v>
      </c>
      <c r="D346" s="7" t="s">
        <v>59</v>
      </c>
      <c r="E346" s="10">
        <v>2.21</v>
      </c>
      <c r="F346" s="19">
        <v>545000</v>
      </c>
      <c r="G346" s="1"/>
    </row>
    <row r="347" spans="2:7" ht="16">
      <c r="B347" s="7" t="s">
        <v>104</v>
      </c>
      <c r="C347" s="7" t="s">
        <v>1043</v>
      </c>
      <c r="D347" s="7" t="s">
        <v>190</v>
      </c>
      <c r="E347" s="10">
        <v>1.365</v>
      </c>
      <c r="F347" s="19">
        <v>530000</v>
      </c>
      <c r="G347" s="1"/>
    </row>
    <row r="348" spans="2:7" ht="16">
      <c r="B348" s="7" t="s">
        <v>104</v>
      </c>
      <c r="C348" s="7" t="s">
        <v>1043</v>
      </c>
      <c r="D348" s="7" t="s">
        <v>914</v>
      </c>
      <c r="E348" s="10">
        <v>7.3999999999999996E-2</v>
      </c>
      <c r="F348" s="22">
        <v>500000</v>
      </c>
      <c r="G348" s="23" t="s">
        <v>965</v>
      </c>
    </row>
    <row r="349" spans="2:7" ht="16">
      <c r="B349" s="52" t="s">
        <v>104</v>
      </c>
      <c r="C349" s="115" t="s">
        <v>1043</v>
      </c>
      <c r="D349" s="115" t="s">
        <v>574</v>
      </c>
      <c r="E349" s="116">
        <v>1.6</v>
      </c>
      <c r="F349" s="117">
        <v>700000</v>
      </c>
      <c r="G349" s="23"/>
    </row>
    <row r="350" spans="2:7" ht="16">
      <c r="B350" s="52" t="s">
        <v>104</v>
      </c>
      <c r="C350" s="115" t="s">
        <v>1043</v>
      </c>
      <c r="D350" s="115" t="s">
        <v>576</v>
      </c>
      <c r="E350" s="116">
        <v>2</v>
      </c>
      <c r="F350" s="117">
        <v>700000</v>
      </c>
      <c r="G350" s="23"/>
    </row>
    <row r="351" spans="2:7" ht="16">
      <c r="B351" s="7" t="s">
        <v>104</v>
      </c>
      <c r="C351" s="7" t="s">
        <v>1043</v>
      </c>
      <c r="D351" s="7" t="s">
        <v>202</v>
      </c>
      <c r="E351" s="10">
        <v>3.7</v>
      </c>
      <c r="F351" s="19">
        <v>570000</v>
      </c>
      <c r="G351" s="1"/>
    </row>
    <row r="352" spans="2:7" ht="16">
      <c r="B352" s="7" t="s">
        <v>104</v>
      </c>
      <c r="C352" s="7" t="s">
        <v>1043</v>
      </c>
      <c r="D352" s="7" t="s">
        <v>191</v>
      </c>
      <c r="E352" s="10">
        <v>6.7</v>
      </c>
      <c r="F352" s="19">
        <v>550000</v>
      </c>
      <c r="G352" s="23"/>
    </row>
    <row r="353" spans="2:7" ht="16">
      <c r="B353" s="7" t="s">
        <v>104</v>
      </c>
      <c r="C353" s="7" t="s">
        <v>1043</v>
      </c>
      <c r="D353" s="7" t="s">
        <v>68</v>
      </c>
      <c r="E353" s="10">
        <v>3</v>
      </c>
      <c r="F353" s="19">
        <v>550000</v>
      </c>
      <c r="G353" s="1"/>
    </row>
    <row r="354" spans="2:7" ht="16">
      <c r="B354" s="7" t="s">
        <v>104</v>
      </c>
      <c r="C354" s="7" t="s">
        <v>1043</v>
      </c>
      <c r="D354" s="7" t="s">
        <v>84</v>
      </c>
      <c r="E354" s="10">
        <v>3.8</v>
      </c>
      <c r="F354" s="19">
        <v>550000</v>
      </c>
      <c r="G354" s="1"/>
    </row>
    <row r="355" spans="2:7" ht="16">
      <c r="B355" s="7" t="s">
        <v>104</v>
      </c>
      <c r="C355" s="7" t="s">
        <v>1043</v>
      </c>
      <c r="D355" s="7" t="s">
        <v>598</v>
      </c>
      <c r="E355" s="10">
        <v>2.5</v>
      </c>
      <c r="F355" s="19">
        <v>620000</v>
      </c>
      <c r="G355" s="1"/>
    </row>
    <row r="356" spans="2:7" ht="16">
      <c r="B356" s="7" t="s">
        <v>104</v>
      </c>
      <c r="C356" s="7" t="s">
        <v>1043</v>
      </c>
      <c r="D356" s="7" t="s">
        <v>192</v>
      </c>
      <c r="E356" s="10">
        <v>0.45</v>
      </c>
      <c r="F356" s="19">
        <v>550000</v>
      </c>
      <c r="G356" s="1"/>
    </row>
    <row r="357" spans="2:7" ht="16">
      <c r="B357" s="7" t="s">
        <v>104</v>
      </c>
      <c r="C357" s="7" t="s">
        <v>1043</v>
      </c>
      <c r="D357" s="7" t="s">
        <v>625</v>
      </c>
      <c r="E357" s="10">
        <v>0.45</v>
      </c>
      <c r="F357" s="19">
        <v>550000</v>
      </c>
      <c r="G357" s="1"/>
    </row>
    <row r="358" spans="2:7" ht="16">
      <c r="B358" s="7" t="s">
        <v>104</v>
      </c>
      <c r="C358" s="7" t="s">
        <v>1043</v>
      </c>
      <c r="D358" s="11" t="s">
        <v>201</v>
      </c>
      <c r="E358" s="10">
        <v>4.2</v>
      </c>
      <c r="F358" s="19">
        <v>580000</v>
      </c>
      <c r="G358" s="23"/>
    </row>
    <row r="359" spans="2:7" ht="16">
      <c r="B359" s="7" t="s">
        <v>104</v>
      </c>
      <c r="C359" s="7" t="s">
        <v>1043</v>
      </c>
      <c r="D359" s="11" t="s">
        <v>193</v>
      </c>
      <c r="E359" s="10">
        <v>7</v>
      </c>
      <c r="F359" s="19">
        <v>600000</v>
      </c>
      <c r="G359" s="1"/>
    </row>
    <row r="360" spans="2:7" ht="16">
      <c r="B360" s="7" t="s">
        <v>104</v>
      </c>
      <c r="C360" s="48" t="s">
        <v>915</v>
      </c>
      <c r="D360" s="11" t="s">
        <v>193</v>
      </c>
      <c r="E360" s="10">
        <v>0.52600000000000002</v>
      </c>
      <c r="F360" s="22">
        <v>500000</v>
      </c>
      <c r="G360" s="23" t="s">
        <v>965</v>
      </c>
    </row>
    <row r="361" spans="2:7" ht="16">
      <c r="B361" s="74"/>
      <c r="C361" s="74"/>
      <c r="D361" s="75" t="s">
        <v>226</v>
      </c>
      <c r="E361" s="76"/>
      <c r="F361" s="77"/>
      <c r="G361" s="1"/>
    </row>
    <row r="362" spans="2:7" ht="16">
      <c r="B362" s="7" t="s">
        <v>66</v>
      </c>
      <c r="C362" s="7" t="s">
        <v>63</v>
      </c>
      <c r="D362" s="11" t="s">
        <v>7</v>
      </c>
      <c r="E362" s="10">
        <v>0.28699999999999998</v>
      </c>
      <c r="F362" s="19">
        <v>1100000</v>
      </c>
      <c r="G362" s="1"/>
    </row>
    <row r="363" spans="2:7" ht="16">
      <c r="B363" s="7" t="s">
        <v>66</v>
      </c>
      <c r="C363" s="7" t="s">
        <v>63</v>
      </c>
      <c r="D363" s="7" t="s">
        <v>128</v>
      </c>
      <c r="E363" s="10">
        <v>4.9000000000000002E-2</v>
      </c>
      <c r="F363" s="19">
        <v>1000000</v>
      </c>
      <c r="G363" s="1"/>
    </row>
    <row r="364" spans="2:7" ht="16">
      <c r="B364" s="7" t="s">
        <v>66</v>
      </c>
      <c r="C364" s="7" t="s">
        <v>61</v>
      </c>
      <c r="D364" s="7" t="s">
        <v>129</v>
      </c>
      <c r="E364" s="10">
        <v>5.0000000000000001E-3</v>
      </c>
      <c r="F364" s="19">
        <v>1000000</v>
      </c>
      <c r="G364" s="1"/>
    </row>
    <row r="365" spans="2:7" ht="16">
      <c r="B365" s="7" t="s">
        <v>66</v>
      </c>
      <c r="C365" s="7" t="s">
        <v>61</v>
      </c>
      <c r="D365" s="11" t="s">
        <v>1045</v>
      </c>
      <c r="E365" s="10">
        <v>0.03</v>
      </c>
      <c r="F365" s="19">
        <v>900000</v>
      </c>
      <c r="G365" s="1"/>
    </row>
    <row r="366" spans="2:7" ht="16">
      <c r="B366" s="7" t="s">
        <v>199</v>
      </c>
      <c r="C366" s="7" t="s">
        <v>63</v>
      </c>
      <c r="D366" s="11" t="s">
        <v>31</v>
      </c>
      <c r="E366" s="10">
        <v>0.02</v>
      </c>
      <c r="F366" s="19">
        <v>900000</v>
      </c>
      <c r="G366" s="1"/>
    </row>
    <row r="367" spans="2:7" ht="16">
      <c r="B367" s="7" t="s">
        <v>1034</v>
      </c>
      <c r="C367" s="7" t="s">
        <v>63</v>
      </c>
      <c r="D367" s="11" t="s">
        <v>53</v>
      </c>
      <c r="E367" s="10">
        <v>2.5</v>
      </c>
      <c r="F367" s="19">
        <v>900000</v>
      </c>
      <c r="G367" s="1"/>
    </row>
    <row r="368" spans="2:7" ht="16">
      <c r="B368" s="7" t="s">
        <v>67</v>
      </c>
      <c r="C368" s="7"/>
      <c r="D368" s="11" t="s">
        <v>21</v>
      </c>
      <c r="E368" s="10">
        <v>1.4E-2</v>
      </c>
      <c r="F368" s="19">
        <v>850000</v>
      </c>
      <c r="G368" s="1"/>
    </row>
    <row r="369" spans="2:7" ht="16">
      <c r="B369" s="7" t="s">
        <v>67</v>
      </c>
      <c r="C369" s="7"/>
      <c r="D369" s="7" t="s">
        <v>64</v>
      </c>
      <c r="E369" s="10">
        <v>4.2000000000000003E-2</v>
      </c>
      <c r="F369" s="19">
        <v>850000</v>
      </c>
      <c r="G369" s="1"/>
    </row>
    <row r="370" spans="2:7" ht="16">
      <c r="B370" s="7" t="s">
        <v>67</v>
      </c>
      <c r="C370" s="7"/>
      <c r="D370" s="7" t="s">
        <v>56</v>
      </c>
      <c r="E370" s="10">
        <v>0.94799999999999995</v>
      </c>
      <c r="F370" s="19">
        <v>850000</v>
      </c>
      <c r="G370" s="1"/>
    </row>
    <row r="371" spans="2:7" ht="16">
      <c r="B371" s="7" t="s">
        <v>67</v>
      </c>
      <c r="C371" s="7" t="s">
        <v>200</v>
      </c>
      <c r="D371" s="7" t="s">
        <v>56</v>
      </c>
      <c r="E371" s="10">
        <v>1.246</v>
      </c>
      <c r="F371" s="19">
        <v>850000</v>
      </c>
      <c r="G371" s="1"/>
    </row>
    <row r="372" spans="2:7" ht="16">
      <c r="B372" s="7"/>
      <c r="C372" s="7"/>
      <c r="D372" s="12" t="s">
        <v>227</v>
      </c>
      <c r="E372" s="10"/>
      <c r="F372" s="20"/>
      <c r="G372" s="1"/>
    </row>
    <row r="373" spans="2:7" ht="16">
      <c r="B373" s="7" t="s">
        <v>130</v>
      </c>
      <c r="C373" s="7" t="s">
        <v>63</v>
      </c>
      <c r="D373" s="7" t="s">
        <v>131</v>
      </c>
      <c r="E373" s="10">
        <v>0.104</v>
      </c>
      <c r="F373" s="49">
        <v>500000</v>
      </c>
      <c r="G373" s="23" t="s">
        <v>965</v>
      </c>
    </row>
    <row r="374" spans="2:7" ht="16">
      <c r="B374" s="7"/>
      <c r="C374" s="7"/>
      <c r="D374" s="7"/>
      <c r="E374" s="10"/>
      <c r="F374" s="20"/>
      <c r="G374" s="1"/>
    </row>
    <row r="375" spans="2:7" ht="16">
      <c r="B375" s="74"/>
      <c r="C375" s="78"/>
      <c r="D375" s="78" t="s">
        <v>228</v>
      </c>
      <c r="E375" s="79"/>
      <c r="F375" s="80"/>
      <c r="G375" s="1"/>
    </row>
    <row r="376" spans="2:7" ht="16">
      <c r="B376" s="7" t="s">
        <v>60</v>
      </c>
      <c r="C376" s="7" t="s">
        <v>173</v>
      </c>
      <c r="D376" s="7" t="s">
        <v>30</v>
      </c>
      <c r="E376" s="51" t="s">
        <v>969</v>
      </c>
      <c r="F376" s="49">
        <v>300</v>
      </c>
      <c r="G376" s="23" t="s">
        <v>965</v>
      </c>
    </row>
    <row r="377" spans="2:7" ht="16">
      <c r="B377" s="7" t="s">
        <v>60</v>
      </c>
      <c r="C377" s="7" t="s">
        <v>174</v>
      </c>
      <c r="D377" s="7" t="s">
        <v>31</v>
      </c>
      <c r="E377" s="51" t="s">
        <v>970</v>
      </c>
      <c r="F377" s="49">
        <v>500</v>
      </c>
      <c r="G377" s="23" t="s">
        <v>965</v>
      </c>
    </row>
    <row r="378" spans="2:7" ht="16">
      <c r="B378" s="7" t="s">
        <v>60</v>
      </c>
      <c r="C378" s="7" t="s">
        <v>175</v>
      </c>
      <c r="D378" s="7" t="s">
        <v>50</v>
      </c>
      <c r="E378" s="51" t="s">
        <v>971</v>
      </c>
      <c r="F378" s="49">
        <v>1000</v>
      </c>
      <c r="G378" s="23" t="s">
        <v>965</v>
      </c>
    </row>
    <row r="379" spans="2:7" ht="16">
      <c r="B379" s="7" t="s">
        <v>60</v>
      </c>
      <c r="C379" s="7" t="s">
        <v>173</v>
      </c>
      <c r="D379" s="7" t="s">
        <v>49</v>
      </c>
      <c r="E379" s="51" t="s">
        <v>972</v>
      </c>
      <c r="F379" s="49">
        <v>1000</v>
      </c>
      <c r="G379" s="23" t="s">
        <v>965</v>
      </c>
    </row>
    <row r="380" spans="2:7" ht="16">
      <c r="B380" s="7"/>
      <c r="C380" s="7"/>
      <c r="D380" s="7"/>
      <c r="E380" s="10"/>
      <c r="F380" s="20"/>
      <c r="G380" s="1"/>
    </row>
    <row r="381" spans="2:7" ht="16">
      <c r="B381" s="81"/>
      <c r="C381" s="74"/>
      <c r="D381" s="78" t="s">
        <v>229</v>
      </c>
      <c r="E381" s="76"/>
      <c r="F381" s="80"/>
      <c r="G381" s="1"/>
    </row>
    <row r="382" spans="2:7" ht="16">
      <c r="B382" s="7" t="s">
        <v>145</v>
      </c>
      <c r="C382" s="7"/>
      <c r="D382" s="7" t="s">
        <v>146</v>
      </c>
      <c r="E382" s="10">
        <v>2.5999999999999999E-2</v>
      </c>
      <c r="F382" s="49">
        <v>300000</v>
      </c>
      <c r="G382" s="23" t="s">
        <v>965</v>
      </c>
    </row>
    <row r="383" spans="2:7" ht="16">
      <c r="B383" s="7" t="s">
        <v>62</v>
      </c>
      <c r="C383" s="7" t="s">
        <v>177</v>
      </c>
      <c r="D383" s="7" t="s">
        <v>69</v>
      </c>
      <c r="E383" s="10">
        <v>1.2999999999999999E-2</v>
      </c>
      <c r="F383" s="49">
        <v>300000</v>
      </c>
      <c r="G383" s="23" t="s">
        <v>965</v>
      </c>
    </row>
    <row r="384" spans="2:7" ht="16">
      <c r="B384" s="7" t="s">
        <v>104</v>
      </c>
      <c r="C384" s="7" t="s">
        <v>179</v>
      </c>
      <c r="D384" s="7" t="s">
        <v>72</v>
      </c>
      <c r="E384" s="10">
        <v>6.0000000000000001E-3</v>
      </c>
      <c r="F384" s="49">
        <v>300000</v>
      </c>
      <c r="G384" s="23" t="s">
        <v>965</v>
      </c>
    </row>
    <row r="385" spans="2:7" ht="16">
      <c r="B385" s="7" t="s">
        <v>60</v>
      </c>
      <c r="C385" s="7"/>
      <c r="D385" s="7" t="s">
        <v>73</v>
      </c>
      <c r="E385" s="10">
        <v>5.2999999999999999E-2</v>
      </c>
      <c r="F385" s="49">
        <v>300000</v>
      </c>
      <c r="G385" s="23" t="s">
        <v>965</v>
      </c>
    </row>
    <row r="386" spans="2:7" ht="16">
      <c r="B386" s="7" t="s">
        <v>60</v>
      </c>
      <c r="C386" s="7" t="s">
        <v>178</v>
      </c>
      <c r="D386" s="7" t="s">
        <v>75</v>
      </c>
      <c r="E386" s="10">
        <v>3.0000000000000001E-3</v>
      </c>
      <c r="F386" s="49">
        <v>300000</v>
      </c>
      <c r="G386" s="23" t="s">
        <v>965</v>
      </c>
    </row>
    <row r="387" spans="2:7" ht="16">
      <c r="B387" s="7" t="s">
        <v>62</v>
      </c>
      <c r="C387" s="7"/>
      <c r="D387" s="7" t="s">
        <v>76</v>
      </c>
      <c r="E387" s="10">
        <v>0.3</v>
      </c>
      <c r="F387" s="49">
        <v>300000</v>
      </c>
      <c r="G387" s="23" t="s">
        <v>965</v>
      </c>
    </row>
    <row r="388" spans="2:7" ht="16">
      <c r="B388" s="7" t="s">
        <v>60</v>
      </c>
      <c r="C388" s="7"/>
      <c r="D388" s="7" t="s">
        <v>147</v>
      </c>
      <c r="E388" s="10">
        <v>0.373</v>
      </c>
      <c r="F388" s="49">
        <v>300000</v>
      </c>
      <c r="G388" s="23" t="s">
        <v>965</v>
      </c>
    </row>
    <row r="389" spans="2:7" ht="16">
      <c r="B389" s="7" t="s">
        <v>62</v>
      </c>
      <c r="C389" s="7" t="s">
        <v>178</v>
      </c>
      <c r="D389" s="7" t="s">
        <v>77</v>
      </c>
      <c r="E389" s="10">
        <v>0.32</v>
      </c>
      <c r="F389" s="49">
        <v>300000</v>
      </c>
      <c r="G389" s="23" t="s">
        <v>965</v>
      </c>
    </row>
    <row r="390" spans="2:7" ht="16">
      <c r="B390" s="7" t="s">
        <v>62</v>
      </c>
      <c r="C390" s="7" t="s">
        <v>178</v>
      </c>
      <c r="D390" s="7" t="s">
        <v>79</v>
      </c>
      <c r="E390" s="10">
        <v>0.38</v>
      </c>
      <c r="F390" s="49">
        <v>300000</v>
      </c>
      <c r="G390" s="23" t="s">
        <v>965</v>
      </c>
    </row>
    <row r="391" spans="2:7" ht="16">
      <c r="B391" s="7" t="s">
        <v>60</v>
      </c>
      <c r="C391" s="7" t="s">
        <v>178</v>
      </c>
      <c r="D391" s="7" t="s">
        <v>155</v>
      </c>
      <c r="E391" s="10">
        <v>0.86</v>
      </c>
      <c r="F391" s="49">
        <v>300000</v>
      </c>
      <c r="G391" s="23" t="s">
        <v>965</v>
      </c>
    </row>
    <row r="392" spans="2:7" ht="16">
      <c r="B392" s="7" t="s">
        <v>60</v>
      </c>
      <c r="C392" s="7" t="s">
        <v>178</v>
      </c>
      <c r="D392" s="7" t="s">
        <v>83</v>
      </c>
      <c r="E392" s="10">
        <v>1.2829999999999999</v>
      </c>
      <c r="F392" s="49">
        <v>300000</v>
      </c>
      <c r="G392" s="23" t="s">
        <v>965</v>
      </c>
    </row>
    <row r="393" spans="2:7" ht="16">
      <c r="B393" s="7" t="s">
        <v>62</v>
      </c>
      <c r="C393" s="7" t="s">
        <v>178</v>
      </c>
      <c r="D393" s="7" t="s">
        <v>148</v>
      </c>
      <c r="E393" s="10">
        <v>9.6000000000000002E-2</v>
      </c>
      <c r="F393" s="49">
        <v>300000</v>
      </c>
      <c r="G393" s="23" t="s">
        <v>965</v>
      </c>
    </row>
    <row r="394" spans="2:7" ht="16">
      <c r="B394" s="7" t="s">
        <v>60</v>
      </c>
      <c r="C394" s="7" t="s">
        <v>178</v>
      </c>
      <c r="D394" s="7" t="s">
        <v>1030</v>
      </c>
      <c r="E394" s="10">
        <v>0.504</v>
      </c>
      <c r="F394" s="49">
        <v>300000</v>
      </c>
      <c r="G394" s="23" t="s">
        <v>965</v>
      </c>
    </row>
    <row r="395" spans="2:7" ht="16">
      <c r="B395" s="74"/>
      <c r="C395" s="74"/>
      <c r="D395" s="78" t="s">
        <v>230</v>
      </c>
      <c r="E395" s="76"/>
      <c r="F395" s="77"/>
      <c r="G395" s="1"/>
    </row>
    <row r="396" spans="2:7" ht="16">
      <c r="B396" s="7" t="s">
        <v>132</v>
      </c>
      <c r="C396" s="7"/>
      <c r="D396" s="7" t="s">
        <v>82</v>
      </c>
      <c r="E396" s="10">
        <v>2.3E-2</v>
      </c>
      <c r="F396" s="22">
        <v>200000</v>
      </c>
      <c r="G396" s="23" t="s">
        <v>965</v>
      </c>
    </row>
    <row r="397" spans="2:7" ht="16">
      <c r="B397" s="74"/>
      <c r="C397" s="74"/>
      <c r="D397" s="78" t="s">
        <v>231</v>
      </c>
      <c r="E397" s="76"/>
      <c r="F397" s="77"/>
      <c r="G397" s="1"/>
    </row>
    <row r="398" spans="2:7" ht="16">
      <c r="B398" s="7" t="s">
        <v>66</v>
      </c>
      <c r="C398" s="7"/>
      <c r="D398" s="7" t="s">
        <v>70</v>
      </c>
      <c r="E398" s="10">
        <v>3.3000000000000002E-2</v>
      </c>
      <c r="F398" s="22">
        <v>450000</v>
      </c>
      <c r="G398" s="23" t="s">
        <v>965</v>
      </c>
    </row>
    <row r="399" spans="2:7" ht="16">
      <c r="B399" s="7" t="s">
        <v>66</v>
      </c>
      <c r="C399" s="7" t="s">
        <v>178</v>
      </c>
      <c r="D399" s="7" t="s">
        <v>71</v>
      </c>
      <c r="E399" s="10">
        <v>6.5000000000000002E-2</v>
      </c>
      <c r="F399" s="22">
        <v>450000</v>
      </c>
      <c r="G399" s="23" t="s">
        <v>965</v>
      </c>
    </row>
    <row r="400" spans="2:7" ht="16">
      <c r="B400" s="82"/>
      <c r="C400" s="82"/>
      <c r="D400" s="83" t="s">
        <v>232</v>
      </c>
      <c r="E400" s="84"/>
      <c r="F400" s="85"/>
    </row>
    <row r="401" spans="2:7" ht="16">
      <c r="B401" s="13" t="s">
        <v>221</v>
      </c>
      <c r="C401" s="14"/>
      <c r="D401" s="14" t="s">
        <v>74</v>
      </c>
      <c r="E401" s="14">
        <v>8.2000000000000003E-2</v>
      </c>
      <c r="F401" s="22">
        <v>450000</v>
      </c>
      <c r="G401" s="23" t="s">
        <v>965</v>
      </c>
    </row>
    <row r="402" spans="2:7" ht="16">
      <c r="B402" s="13" t="s">
        <v>221</v>
      </c>
      <c r="C402" s="7"/>
      <c r="D402" s="7" t="s">
        <v>78</v>
      </c>
      <c r="E402" s="10">
        <v>2.7E-2</v>
      </c>
      <c r="F402" s="22">
        <v>450000</v>
      </c>
      <c r="G402" s="23" t="s">
        <v>965</v>
      </c>
    </row>
    <row r="403" spans="2:7" ht="16">
      <c r="B403" s="13" t="s">
        <v>221</v>
      </c>
      <c r="C403" s="14"/>
      <c r="D403" s="14" t="s">
        <v>80</v>
      </c>
      <c r="E403" s="14">
        <v>4.5999999999999999E-2</v>
      </c>
      <c r="F403" s="22">
        <v>450000</v>
      </c>
      <c r="G403" s="23" t="s">
        <v>965</v>
      </c>
    </row>
    <row r="404" spans="2:7" ht="16">
      <c r="B404" s="13" t="s">
        <v>221</v>
      </c>
      <c r="C404" s="7"/>
      <c r="D404" s="7" t="s">
        <v>81</v>
      </c>
      <c r="E404" s="10">
        <v>0.86699999999999999</v>
      </c>
      <c r="F404" s="22">
        <v>450000</v>
      </c>
      <c r="G404" s="23" t="s">
        <v>965</v>
      </c>
    </row>
    <row r="405" spans="2:7" ht="16">
      <c r="B405" s="13"/>
      <c r="C405" s="7"/>
      <c r="D405" s="7"/>
      <c r="E405" s="10"/>
      <c r="F405" s="19"/>
      <c r="G405" s="1"/>
    </row>
    <row r="406" spans="2:7" ht="16">
      <c r="B406" s="74"/>
      <c r="C406" s="74"/>
      <c r="D406" s="78" t="s">
        <v>180</v>
      </c>
      <c r="E406" s="76"/>
      <c r="F406" s="77"/>
      <c r="G406" s="1"/>
    </row>
    <row r="407" spans="2:7" ht="16">
      <c r="B407" s="13" t="s">
        <v>62</v>
      </c>
      <c r="C407" s="14"/>
      <c r="D407" s="14" t="s">
        <v>181</v>
      </c>
      <c r="E407" s="14">
        <v>2.1999999999999999E-2</v>
      </c>
      <c r="F407" s="50">
        <v>360000</v>
      </c>
      <c r="G407" s="23" t="s">
        <v>965</v>
      </c>
    </row>
    <row r="408" spans="2:7" ht="16">
      <c r="B408" s="7" t="s">
        <v>60</v>
      </c>
      <c r="C408" s="7" t="s">
        <v>178</v>
      </c>
      <c r="D408" s="7" t="s">
        <v>968</v>
      </c>
      <c r="E408" s="10">
        <v>0.185</v>
      </c>
      <c r="F408" s="50">
        <v>400000</v>
      </c>
      <c r="G408" s="23" t="s">
        <v>965</v>
      </c>
    </row>
    <row r="409" spans="2:7" ht="16">
      <c r="B409" s="7" t="s">
        <v>60</v>
      </c>
      <c r="C409" s="7" t="s">
        <v>179</v>
      </c>
      <c r="D409" s="7" t="s">
        <v>778</v>
      </c>
      <c r="E409" s="10">
        <v>0.245</v>
      </c>
      <c r="F409" s="50">
        <v>360000</v>
      </c>
      <c r="G409" s="23" t="s">
        <v>965</v>
      </c>
    </row>
    <row r="410" spans="2:7" ht="16">
      <c r="B410" s="7" t="s">
        <v>145</v>
      </c>
      <c r="C410" s="7"/>
      <c r="D410" s="7" t="s">
        <v>967</v>
      </c>
      <c r="E410" s="10">
        <v>6.0000000000000001E-3</v>
      </c>
      <c r="F410" s="50">
        <v>400000</v>
      </c>
      <c r="G410" s="23" t="s">
        <v>965</v>
      </c>
    </row>
    <row r="411" spans="2:7" ht="16">
      <c r="B411" s="13" t="s">
        <v>145</v>
      </c>
      <c r="C411" s="14" t="s">
        <v>182</v>
      </c>
      <c r="D411" s="14" t="s">
        <v>777</v>
      </c>
      <c r="E411" s="14">
        <v>0.7</v>
      </c>
      <c r="F411" s="50">
        <v>360000</v>
      </c>
      <c r="G411" s="23" t="s">
        <v>965</v>
      </c>
    </row>
    <row r="412" spans="2:7" ht="16">
      <c r="B412" s="7" t="s">
        <v>60</v>
      </c>
      <c r="C412" s="7"/>
      <c r="D412" s="7" t="s">
        <v>776</v>
      </c>
      <c r="E412" s="7">
        <v>0.998</v>
      </c>
      <c r="F412" s="50">
        <v>360000</v>
      </c>
      <c r="G412" s="23" t="s">
        <v>965</v>
      </c>
    </row>
    <row r="413" spans="2:7" ht="16">
      <c r="B413" s="74"/>
      <c r="C413" s="74"/>
      <c r="D413" s="78" t="s">
        <v>133</v>
      </c>
      <c r="E413" s="74"/>
      <c r="F413" s="80"/>
      <c r="G413" s="1"/>
    </row>
    <row r="414" spans="2:7" ht="16">
      <c r="B414" s="7" t="s">
        <v>60</v>
      </c>
      <c r="C414" s="7"/>
      <c r="D414" s="7" t="s">
        <v>134</v>
      </c>
      <c r="E414" s="7">
        <v>0.10199999999999999</v>
      </c>
      <c r="F414" s="49">
        <v>200000</v>
      </c>
      <c r="G414" s="23" t="s">
        <v>965</v>
      </c>
    </row>
    <row r="1387" ht="12.75" customHeight="1"/>
    <row r="1399" ht="12.75" customHeight="1"/>
    <row r="1402" ht="12.75" customHeight="1"/>
    <row r="1405" ht="12.75" customHeight="1"/>
    <row r="1411" ht="12.75" customHeight="1"/>
    <row r="1415" ht="12.75" customHeight="1"/>
    <row r="1427" ht="12.75" customHeight="1"/>
    <row r="1429" ht="12.75" customHeight="1"/>
    <row r="1431" ht="12.75" customHeight="1"/>
    <row r="1436" ht="12.75" customHeight="1"/>
    <row r="1485" ht="12.75" customHeight="1"/>
  </sheetData>
  <mergeCells count="4">
    <mergeCell ref="B5:D5"/>
    <mergeCell ref="D1:E1"/>
    <mergeCell ref="D2:E2"/>
    <mergeCell ref="D3:E3"/>
  </mergeCells>
  <phoneticPr fontId="0" type="noConversion"/>
  <hyperlinks>
    <hyperlink ref="D2" r:id="rId1" xr:uid="{20CC19A6-7BC4-8E47-A477-AAA1E56A696F}"/>
    <hyperlink ref="D3" r:id="rId2" xr:uid="{4A7C607F-A937-E648-BEED-DD2A02A4E7E1}"/>
  </hyperlinks>
  <pageMargins left="0.39370078740157483" right="0.19685039370078741" top="0.39370078740157483" bottom="0.39370078740157483" header="0.11811023622047245" footer="0.31496062992125984"/>
  <pageSetup paperSize="9" orientation="portrait" r:id="rId3"/>
  <headerFooter alignWithMargins="0"/>
  <cellWatches>
    <cellWatch r="D96"/>
    <cellWatch r="D136"/>
    <cellWatch r="D97"/>
    <cellWatch r="E203"/>
    <cellWatch r="D94"/>
    <cellWatch r="E201"/>
    <cellWatch r="D91"/>
    <cellWatch r="D134"/>
    <cellWatch r="E200"/>
    <cellWatch r="E202"/>
    <cellWatch r="E205"/>
    <cellWatch r="H438"/>
    <cellWatch r="E194"/>
    <cellWatch r="H437"/>
    <cellWatch r="E155"/>
    <cellWatch r="E152"/>
    <cellWatch r="D90"/>
    <cellWatch r="D132"/>
    <cellWatch r="D88"/>
    <cellWatch r="E198"/>
    <cellWatch r="D129"/>
    <cellWatch r="D87"/>
    <cellWatch r="D128"/>
    <cellWatch r="E197"/>
    <cellWatch r="E199"/>
    <cellWatch r="H435"/>
    <cellWatch r="E192"/>
    <cellWatch r="H434"/>
    <cellWatch r="E150"/>
    <cellWatch r="E147"/>
    <cellWatch r="E105"/>
    <cellWatch r="H436"/>
    <cellWatch r="E153"/>
    <cellWatch r="D86"/>
    <cellWatch r="E196"/>
    <cellWatch r="D125"/>
    <cellWatch r="D84"/>
    <cellWatch r="D123"/>
    <cellWatch r="E190"/>
    <cellWatch r="E189"/>
    <cellWatch r="E148"/>
    <cellWatch r="E146"/>
    <cellWatch r="E101"/>
    <cellWatch r="E186"/>
    <cellWatch r="H433"/>
    <cellWatch r="H439"/>
    <cellWatch r="E103"/>
    <cellWatch r="D122"/>
    <cellWatch r="D120"/>
    <cellWatch r="D78"/>
    <cellWatch r="H431"/>
    <cellWatch r="E182"/>
    <cellWatch r="E181"/>
    <cellWatch r="H430"/>
    <cellWatch r="E144"/>
    <cellWatch r="E142"/>
    <cellWatch r="E99"/>
    <cellWatch r="E183"/>
    <cellWatch r="E143"/>
    <cellWatch r="E100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699"/>
  <sheetViews>
    <sheetView topLeftCell="A1308" zoomScale="169" zoomScaleNormal="169" workbookViewId="0">
      <selection activeCell="C1317" sqref="C1317"/>
    </sheetView>
  </sheetViews>
  <sheetFormatPr baseColWidth="10" defaultColWidth="8.83203125" defaultRowHeight="13"/>
  <cols>
    <col min="1" max="1" width="11.83203125" style="15" customWidth="1"/>
    <col min="2" max="2" width="18.83203125" style="15" customWidth="1"/>
    <col min="3" max="3" width="16.33203125" style="15" customWidth="1"/>
    <col min="4" max="4" width="14.83203125" style="44" customWidth="1"/>
    <col min="5" max="5" width="17.5" style="45" customWidth="1"/>
    <col min="6" max="6" width="22.83203125" customWidth="1"/>
    <col min="7" max="7" width="18.83203125" customWidth="1"/>
  </cols>
  <sheetData>
    <row r="2" spans="1:6" ht="18">
      <c r="B2" s="69"/>
      <c r="C2" s="69"/>
      <c r="D2" s="69"/>
      <c r="E2" s="70"/>
      <c r="F2" s="71"/>
    </row>
    <row r="3" spans="1:6" ht="18">
      <c r="B3" s="69"/>
      <c r="C3" s="69"/>
      <c r="D3" s="69"/>
      <c r="E3" s="70"/>
      <c r="F3" s="71"/>
    </row>
    <row r="4" spans="1:6" ht="18">
      <c r="B4" s="69"/>
      <c r="C4" s="69"/>
      <c r="D4" s="133" t="s">
        <v>955</v>
      </c>
      <c r="E4" s="133"/>
      <c r="F4" s="71"/>
    </row>
    <row r="5" spans="1:6" ht="18">
      <c r="B5" s="72" t="s">
        <v>135</v>
      </c>
      <c r="C5" s="69"/>
      <c r="D5" s="134" t="s">
        <v>956</v>
      </c>
      <c r="E5" s="134"/>
      <c r="F5" s="71"/>
    </row>
    <row r="6" spans="1:6" ht="18">
      <c r="B6" s="72" t="s">
        <v>159</v>
      </c>
      <c r="C6" s="69"/>
      <c r="D6" s="135" t="s">
        <v>957</v>
      </c>
      <c r="E6" s="135"/>
      <c r="F6" s="71"/>
    </row>
    <row r="7" spans="1:6" ht="18">
      <c r="B7" s="69"/>
      <c r="C7" s="69"/>
      <c r="D7" s="69"/>
      <c r="E7" s="70"/>
      <c r="F7" s="71"/>
    </row>
    <row r="8" spans="1:6" ht="18">
      <c r="B8" s="69"/>
      <c r="C8" s="69"/>
      <c r="D8" s="69"/>
      <c r="F8" s="73">
        <v>46224</v>
      </c>
    </row>
    <row r="9" spans="1:6" ht="16">
      <c r="A9" s="63"/>
      <c r="B9" s="128" t="s">
        <v>1015</v>
      </c>
      <c r="C9" s="129"/>
      <c r="D9" s="129"/>
      <c r="E9" s="129"/>
      <c r="F9" s="129"/>
    </row>
    <row r="10" spans="1:6">
      <c r="A10"/>
      <c r="B10" s="64" t="s">
        <v>674</v>
      </c>
      <c r="C10" s="64" t="s">
        <v>675</v>
      </c>
      <c r="D10" s="64" t="s">
        <v>1016</v>
      </c>
      <c r="E10" s="64" t="s">
        <v>896</v>
      </c>
      <c r="F10" s="65" t="s">
        <v>1029</v>
      </c>
    </row>
    <row r="11" spans="1:6">
      <c r="A11"/>
      <c r="B11" s="24">
        <v>20</v>
      </c>
      <c r="C11" s="24" t="s">
        <v>138</v>
      </c>
      <c r="D11" s="24" t="s">
        <v>233</v>
      </c>
      <c r="E11" s="53">
        <f>1.69-0.865-0.025-0.005-0.275</f>
        <v>0.51999999999999991</v>
      </c>
      <c r="F11" s="25">
        <v>183000</v>
      </c>
    </row>
    <row r="12" spans="1:6">
      <c r="A12"/>
      <c r="B12" s="24">
        <v>20</v>
      </c>
      <c r="C12" s="24" t="s">
        <v>22</v>
      </c>
      <c r="D12" s="24" t="s">
        <v>233</v>
      </c>
      <c r="E12" s="53">
        <f>3.51-0.37-0.16-0.09-0.023-0.3-0.775-0.115-0.285-0.085-1.395+0.088+3.02-3.02+0.055</f>
        <v>5.5E-2</v>
      </c>
      <c r="F12" s="25">
        <v>183000</v>
      </c>
    </row>
    <row r="13" spans="1:6">
      <c r="A13"/>
      <c r="B13" s="24">
        <v>20</v>
      </c>
      <c r="C13" s="24" t="s">
        <v>235</v>
      </c>
      <c r="D13" s="24" t="s">
        <v>233</v>
      </c>
      <c r="E13" s="53">
        <f>0.088-0.03-0.03+10.04-0.105-0.15-2.45-3.552-0.918-0.15-1-0.405-0.012-0.016-0.027-0.717-0.293-0.125-0.025+1.702+1.51+1.76+1.166-0.515-0.045-0.405-0.078-0.042-0.31-0.042-0.79-0.635-0.215-0.085-1.132+14.507-0.213-0.017-0.385-1.205-2.49-0.112-0.393-0.41-0.205-3.02-1.505-1.52-0.52-3.706-0.05-0.05-0.05-0.475-0.05-0.055+0.111-0.111-0.034+4.1+4.1+4.12+4.1+1.59-1.495-0.115-3.095-0.046-0.48-2.015-4.12-1.59-4.045-0.055-0.11-0.185-0.025-0.05+0.041-0.319-0.251+1.89-0.11-0.405+10.689-0.12-0.22-0.705-0.31-0.165-0.03-0.06-1.175-5.42+0.091+5.082+5.06-1.065-0.705-5.082-1.53-0.026-0.565-0.24-0.21-0.811-0.064+0.037-0.2-1.532-0.098-0.51-0.19-0.038-0.19+0.038</f>
        <v>1.1750000000000032</v>
      </c>
      <c r="F13" s="25">
        <v>183000</v>
      </c>
    </row>
    <row r="14" spans="1:6">
      <c r="A14"/>
      <c r="B14" s="24">
        <v>20</v>
      </c>
      <c r="C14" s="24" t="s">
        <v>868</v>
      </c>
      <c r="D14" s="24" t="s">
        <v>233</v>
      </c>
      <c r="E14" s="53">
        <f>0.38-0.12-0.15+22.94-0.32+0.32-3.215-0.865-4.96-0.03-7.1-0.03+3.04+1.724+2.83+3.01+2.864+2.83+2.852+0.76-0.43-1.6-0.685-2-1.815-1.04-0.02-2.54-2.83-0.745-2.83-2.852-0.76-1.095-0.27-1.508-1.175-0.341-1.494-0.124-0.36-0.17+0.019+5.2-0.01-0.015-0.005-1.715-1.76-1.725+8.77+1.565-1.665-0.03-1.34-0.085</f>
        <v>7.2800000000000074</v>
      </c>
      <c r="F14" s="25">
        <v>183000</v>
      </c>
    </row>
    <row r="15" spans="1:6">
      <c r="A15"/>
      <c r="B15" s="24">
        <v>20</v>
      </c>
      <c r="C15" s="24" t="s">
        <v>150</v>
      </c>
      <c r="D15" s="24" t="s">
        <v>233</v>
      </c>
      <c r="E15" s="53">
        <f>4.705+5.35-0.19-2-0.91-1.58-0.51-0.875-0.43-0.035-3.565+0.035+0.005+3.92+4.085+1.893-0.1-4.085-0.285+2.562+2.404+2.524+2.683-0.145-0.25-1.04-0.033-2.56-2.4-0.002-0.004-0.196-0.065-0.042-1.436-0.065-0.064-0.256-0.612-0.195-0.13-0.29</f>
        <v>5.8159999999999998</v>
      </c>
      <c r="F15" s="25">
        <v>180000</v>
      </c>
    </row>
    <row r="16" spans="1:6">
      <c r="A16"/>
      <c r="B16" s="24">
        <v>20</v>
      </c>
      <c r="C16" s="24" t="s">
        <v>236</v>
      </c>
      <c r="D16" s="24" t="s">
        <v>233</v>
      </c>
      <c r="E16" s="53">
        <f>19.47-0.265-0.79-0.195+20.024-0.13-0.174-0.03-0.88-0.1-0.52-0.48-1.015-0.41-1.045-0.771-0.025-0.03+3.898+3.792+1.517+3.844+0.262+3.793+0.069+4.432+4.08+0.036+0.114+3.803+0.12-0.17-0.44-0.35-1.68-0.515-0.115-0.275-0.275-0.815-0.04-1.985-1.245-20.187-3.563-3.643-0.14-0.12-10.12+0.081+17.109+0.213+2.051+17.315+5.897-0.035-0.029-0.026-2.219-2.423-0.485-0.595-0.445+5.182-0.115-19.986-0.54-0.17-0.695-20.002-0.205+2.45+0.441+2.455-2.217-0.008-0.225+12.021+12.043-12.021-0.441-0.56+1.211+4.989-15.512-0.04+6.71-0.03-0.037-6.438-1.045-7.009-0.032+23.323+23.242+13.032-1.515-0.275+47.825-3.925-0.16+0.009-3.23-4.1-0.034+10.809-0.712-18.014-5-1.06-3.01-0.08+0.008-0.2-0.28-9.28-5.45-12.757+1.107-9.016-0.076-0.465-0.35-3.005-0.156-0.035-2.04+0.145+59.092-0.04-0.4-0.982-0.736-4.961-15.016-1.216-15.006+1.216-0.16-0.28-4.964-0.16-15.018-15.022-15.586-0.35-1.64-0.24-12.387+39.23-19.995-0.12</f>
        <v>23.832999999999963</v>
      </c>
      <c r="F16" s="25">
        <v>180000</v>
      </c>
    </row>
    <row r="17" spans="1:6">
      <c r="A17"/>
      <c r="B17" s="24">
        <v>20</v>
      </c>
      <c r="C17" s="24" t="s">
        <v>141</v>
      </c>
      <c r="D17" s="24" t="s">
        <v>233</v>
      </c>
      <c r="E17" s="53">
        <f>0.92+4.59+3.18+4.568-0.16-4.568-3.155-4.59-0.155-0.025+4.842-0.04-0.665-0.3-0.365-0.4-0.065-0.04-1.5-1.18-0.327-0.173-0.035-0.235-0.043+2.522+2.517-0.545-2.517-1.852</f>
        <v>0.2040000000000004</v>
      </c>
      <c r="F17" s="25">
        <v>180000</v>
      </c>
    </row>
    <row r="18" spans="1:6">
      <c r="A18"/>
      <c r="B18" s="24">
        <v>20</v>
      </c>
      <c r="C18" s="24" t="s">
        <v>24</v>
      </c>
      <c r="D18" s="24" t="s">
        <v>233</v>
      </c>
      <c r="E18" s="53">
        <f>5.058-1.02-0.235-1.49-2.015-0.25-0.03</f>
        <v>1.8000000000000488E-2</v>
      </c>
      <c r="F18" s="25">
        <v>182000</v>
      </c>
    </row>
    <row r="19" spans="1:6">
      <c r="A19"/>
      <c r="B19" s="24">
        <v>20</v>
      </c>
      <c r="C19" s="24" t="s">
        <v>759</v>
      </c>
      <c r="D19" s="24" t="s">
        <v>233</v>
      </c>
      <c r="E19" s="53">
        <f>4.874-0.08-0.155-0.77-0.155-0.155-0.04-0.58-0.19-2.615-0.124</f>
        <v>9.9999999999994538E-3</v>
      </c>
      <c r="F19" s="25">
        <v>182000</v>
      </c>
    </row>
    <row r="20" spans="1:6">
      <c r="A20"/>
      <c r="B20" s="24">
        <v>20</v>
      </c>
      <c r="C20" s="24" t="s">
        <v>761</v>
      </c>
      <c r="D20" s="24" t="s">
        <v>233</v>
      </c>
      <c r="E20" s="53">
        <f>4.098-0.295-0.185-0.295-0.035-0.065-0.165-0.165-0.295-0.68-0.195-1.08-0.03-0.16-0.16-0.05-0.25+0.007</f>
        <v>-5.0567189324723927E-16</v>
      </c>
      <c r="F20" s="25">
        <v>182000</v>
      </c>
    </row>
    <row r="21" spans="1:6">
      <c r="A21"/>
      <c r="B21" s="24">
        <v>20</v>
      </c>
      <c r="C21" s="24" t="s">
        <v>239</v>
      </c>
      <c r="D21" s="24" t="s">
        <v>233</v>
      </c>
      <c r="E21" s="53">
        <f>0.035-0.035+0.035</f>
        <v>3.5000000000000003E-2</v>
      </c>
      <c r="F21" s="25">
        <v>182000</v>
      </c>
    </row>
    <row r="22" spans="1:6">
      <c r="A22"/>
      <c r="B22" s="24">
        <v>20</v>
      </c>
      <c r="C22" s="24" t="s">
        <v>240</v>
      </c>
      <c r="D22" s="24" t="s">
        <v>233</v>
      </c>
      <c r="E22" s="53">
        <f>5.18-0.96-1.54-0.07-0.28+1.63+1.611+1.615-0.14-0.075-0.285-0.07-0.045-0.135-0.215-0.145-0.075-0.29-0.215-0.07-0.935-0.185-0.145-1.535-0.135-0.47-0.02-0.175-0.09-0.09-0.045-0.22-1.301-0.05-0.009-0.021</f>
        <v>7.3205330686221259E-16</v>
      </c>
      <c r="F22" s="25">
        <v>182000</v>
      </c>
    </row>
    <row r="23" spans="1:6">
      <c r="A23"/>
      <c r="B23" s="24">
        <v>20</v>
      </c>
      <c r="C23" s="24" t="s">
        <v>241</v>
      </c>
      <c r="D23" s="24" t="s">
        <v>233</v>
      </c>
      <c r="E23" s="53">
        <f>2.085-0.066-0.066-0.153-0.042-0.135-0.195-0.405-0.275-0.035-0.4-0.05-0.125-0.046-0.09-0.002</f>
        <v>-1.5092094240998222E-16</v>
      </c>
      <c r="F23" s="25">
        <v>182000</v>
      </c>
    </row>
    <row r="24" spans="1:6">
      <c r="A24"/>
      <c r="B24" s="24">
        <v>20</v>
      </c>
      <c r="C24" s="24" t="s">
        <v>25</v>
      </c>
      <c r="D24" s="24" t="s">
        <v>233</v>
      </c>
      <c r="E24" s="53">
        <f>13.545+1.43+1.425+1.425+1.425+1.47+1.425+1.425-1.425-1.425-0.023-0.926-0.05-2.295-1.065+2-0.025-0.535-0.07-0.278-0.095-2-8.775-1.94-1.43-1.402-1.47-0.023+0.023-0.2-0.045-0.025-0.1+0.029</f>
        <v>4.6108949991463533E-15</v>
      </c>
      <c r="F24" s="25">
        <v>183000</v>
      </c>
    </row>
    <row r="25" spans="1:6">
      <c r="A25"/>
      <c r="B25" s="24">
        <v>20</v>
      </c>
      <c r="C25" s="24" t="s">
        <v>916</v>
      </c>
      <c r="D25" s="24" t="s">
        <v>233</v>
      </c>
      <c r="E25" s="53">
        <f>3.402+2.26+3.43+3.41+3.43-2.592-0.056-0.11-2.24-0.378-0.02-1.095-2-1.265-0.37-2.985-1.795-0.24-0.08-0.055-0.027-0.03-0.108-0.205-0.015+1.69+3.27+4.975-0.88-0.452-0.29-0.165-0.062-2.49</f>
        <v>5.8620000000000019</v>
      </c>
      <c r="F25" s="25">
        <v>180000</v>
      </c>
    </row>
    <row r="26" spans="1:6">
      <c r="A26"/>
      <c r="B26" s="24">
        <v>20</v>
      </c>
      <c r="C26" s="24" t="s">
        <v>242</v>
      </c>
      <c r="D26" s="24" t="s">
        <v>233</v>
      </c>
      <c r="E26" s="53">
        <f>4.38+1.554+4.126+2.62-4.126-2.62-2.955-1.554-0.936-0.2+2.83+2.95-0.685+3.085-1.74+5.9-1.015-0.69-0.07-2.95-0.07-5.9-1.16-0.032+1.685-0.11+1.67+1.625+1.68+1.675+1.675-0.06-0.005-0.44-0.115-1.675-1.675-1.67-1.625-1.68+0.005-0.99-0.38-0.315+3.495+8.435+3.275-10.685+0.23-2.845-0.056+5.12+5.028+14.996-0.505-0.726-0.065-0.315-0.35-0.62-0.182-0.685-1.634-0.22-0.312-0.04-0.031-1.66-0.056-0.126-2.53-0.47-0.285-0.312-0.035</f>
        <v>15.850999999999997</v>
      </c>
      <c r="F26" s="25">
        <v>180000</v>
      </c>
    </row>
    <row r="27" spans="1:6">
      <c r="A27"/>
      <c r="B27" s="24">
        <v>20</v>
      </c>
      <c r="C27" s="24" t="s">
        <v>243</v>
      </c>
      <c r="D27" s="24" t="s">
        <v>233</v>
      </c>
      <c r="E27" s="53">
        <f>0.19+3.87-0.035+0.001-0.105-0.505-0.047-0.003-1.505-0.535-0.525-0.29-0.511+3.165-0.205-0.041-0.04-2.515+1.595-0.24-0.955-0.08-0.04-0.08-0.245-0.205-0.11-0.004-0.006+0.006+3.97+2.7-0.48-2.51-0.51-1.655+0.086-0.25-0.006-0.625-0.24-0.155-0.075-0.22+27.995-1.29+4.505+4.462+1.78+4.49-1.505-0.04-0.19-0.375-1.105-0.35-0.49-0.075-1.02-0.04-0.15-10.805-0.255-4.505-4.435-4.49-3.145-2.585-3.7-0.79+11.545-0.2+1.46+1.46+1.46+1.765+1.46+1.46-0.032-11.68-1.77+0.01+0.135-0.065-0.135-8.695+5.658+8.65-8.65+12.816-0.03-0.27-0.225+20.332-10.3+2.76+1.856+2.759-0.23+19.407-1-0.045-16.985-0.9-2.17-0.54-0.135+4.01-0.09-1.01-0.135-0.09-0.14-0.035-0.135-0.035-11.551-0.82-0.315-0.135-0.225-0.5-0.365-0.09-0.41-1.04-0.669-0.09-0.045-0.135-0.135-0.905-0.45-0.5-0.09-5.374+0.005-2.989+3.165-0.315</f>
        <v>11.220000000000008</v>
      </c>
      <c r="F27" s="25">
        <v>180000</v>
      </c>
    </row>
    <row r="28" spans="1:6">
      <c r="A28"/>
      <c r="B28" s="24">
        <v>20</v>
      </c>
      <c r="C28" s="24" t="s">
        <v>244</v>
      </c>
      <c r="D28" s="24" t="s">
        <v>233</v>
      </c>
      <c r="E28" s="53">
        <f>3.87+3.872+2.31+4.564-0.04-2.426-0.56-0.044-0.042-0.122-0.082-0.554-0.55-3.872-0.271-4.564-0.205-0.68-0.24-0.08-0.115-0.16+1.445+1.435+1.405+1.435+1.435+1.44+1.435+0.008-1.435-0.065-0.035-1.11-0.095-2.87-0.23-0.035-0.015-1.215+2.225-1.435-0.55+5-0.52-0.46-0.046-0.047-0.008-0.001-1.39-2-1.47+1.435+0.55-1.335-0.14-0.47-0.096-0.225-0.1-0.235</f>
        <v>1.6239999999999957</v>
      </c>
      <c r="F28" s="25">
        <v>180000</v>
      </c>
    </row>
    <row r="29" spans="1:6">
      <c r="A29"/>
      <c r="B29" s="24">
        <v>20</v>
      </c>
      <c r="C29" s="24" t="s">
        <v>245</v>
      </c>
      <c r="D29" s="24" t="s">
        <v>233</v>
      </c>
      <c r="E29" s="53">
        <f>4.574+0.88-0.32-4.574-0.515-0.04-0.005+1.28+1.25+1.287+1.25-1.25-0.275-1.285+0.005-1.25-0.424-0.04-0.155+4.975-0.04-0.855-0.385-0.34-0.195-0.075-0.083-0.277+0.072-3.19</f>
        <v>0</v>
      </c>
      <c r="F29" s="25">
        <v>182000</v>
      </c>
    </row>
    <row r="30" spans="1:6">
      <c r="A30"/>
      <c r="B30" s="24">
        <v>20</v>
      </c>
      <c r="C30" s="24" t="s">
        <v>247</v>
      </c>
      <c r="D30" s="24" t="s">
        <v>233</v>
      </c>
      <c r="E30" s="53">
        <f>7.46-0.37-0.075-0.215-2.79-0.295-1.71-0.525-0.78-0.675</f>
        <v>2.4999999999999911E-2</v>
      </c>
      <c r="F30" s="25">
        <v>192000</v>
      </c>
    </row>
    <row r="31" spans="1:6">
      <c r="A31"/>
      <c r="B31" s="26" t="s">
        <v>1017</v>
      </c>
      <c r="C31" s="24" t="s">
        <v>248</v>
      </c>
      <c r="D31" s="24" t="s">
        <v>233</v>
      </c>
      <c r="E31" s="53">
        <f>9.03-0.06-5.025-3.495-0.06-0.12-0.06</f>
        <v>0.20999999999999841</v>
      </c>
      <c r="F31" s="25">
        <v>192000</v>
      </c>
    </row>
    <row r="32" spans="1:6">
      <c r="A32"/>
      <c r="B32" s="24">
        <v>20</v>
      </c>
      <c r="C32" s="24" t="s">
        <v>27</v>
      </c>
      <c r="D32" s="24" t="s">
        <v>233</v>
      </c>
      <c r="E32" s="53">
        <f>7.17+3.94+3.954+1.89-3.95+2.546+2.558-0.035-0.07-0.11-2.558-2.137-0.21+0.016-0.176-0.062-0.12-0.176-0.062-0.412-0.49-0.175-0.03-0.033-2.179-1.361-0.405-0.12-1.01-0.035-3.935-1.675-0.019-0.084-0.206-0.074+0.5+1.675+1.67+1.67+1.665+1.675+1.675-0.11-0.35-0.078+0.023+0.19-1.675-1.67-1.67-1.665-1.675-1.675+10.12-1.46-0.105-0.1-0.695-0.033-0.1-0.305-0.055-0.105-0.11-4.99-0.235-0.008-0.368-0.051-0.16-0.26-0.535</f>
        <v>0.78500000000000048</v>
      </c>
      <c r="F32" s="25">
        <v>174000</v>
      </c>
    </row>
    <row r="33" spans="1:6">
      <c r="A33"/>
      <c r="B33" s="24" t="s">
        <v>234</v>
      </c>
      <c r="C33" s="24" t="s">
        <v>27</v>
      </c>
      <c r="D33" s="24" t="s">
        <v>233</v>
      </c>
      <c r="E33" s="53">
        <f>3.58-0.036-1.105-0.51-0.485-0.41+3.134+2.406-0.58-0.035-0.007-3.134-0.136-0.34-0.138-0.029-0.035-0.036+1.57+2.23+1.27</f>
        <v>7.1739999999999995</v>
      </c>
      <c r="F33" s="25">
        <v>203000</v>
      </c>
    </row>
    <row r="34" spans="1:6">
      <c r="A34"/>
      <c r="B34" s="24">
        <v>20</v>
      </c>
      <c r="C34" s="24" t="s">
        <v>28</v>
      </c>
      <c r="D34" s="24" t="s">
        <v>233</v>
      </c>
      <c r="E34" s="53">
        <f>2.46+2.474-0.225-2.185-1.11-1.235+4.47+4.47+4.48+1.7-0.075-0.17-0.515-1.765-0.032-1.06-0.095-0.36-0.05-0.06+0.006-0.315-0.032-0.23-0.2-0.69-0.1-0.66-0.155-0.045-0.03-0.195-0.24-0.23-0.035-0.695-0.648-0.002-0.065-0.16-0.43-0.03-1.24-0.97-0.2-0.135-0.2-0.495-0.035-0.86-0.135-0.996+4.18-0.035+1.03-0.19-0.035-0.036-0.495-1.41-0.03-0.045-0.04-1.41-0.265-0.065+4.975-0.07-0.08-0.045-0.304-0.09-0.045-1.62-0.045-0.545+20.881-0.34-0.6-0.095-0.29-0.15-1-0.045-0.099-0.016-0.145-0.05-0.14-0.045-0.19-0.046-1.05-0.71-0.095-0.095-1-0.335</f>
        <v>18.299999999999997</v>
      </c>
      <c r="F34" s="25">
        <v>174000</v>
      </c>
    </row>
    <row r="35" spans="1:6">
      <c r="A35"/>
      <c r="B35" s="24" t="s">
        <v>234</v>
      </c>
      <c r="C35" s="24" t="s">
        <v>28</v>
      </c>
      <c r="D35" s="24" t="s">
        <v>233</v>
      </c>
      <c r="E35" s="53">
        <f>4.385-0.495-0.195-0.82-0.38-0.002-0.04-0.155-0.12+0.002-0.155-0.92-0.19-0.04-0.04-0.04-0.04-0.04+3.98-0.075-0.075-0.075-0.745-0.04-3.115-0.04-0.12-0.39+0.956+4.586-0.155-0.995-0.12-0.65-0.55-0.425-0.04-0.04-1.15-0.956-0.02-0.485+0.024+0.48+4.75-0.4-3.985-0.765-0.045+4.07+4.06+2.37-0.125-0.162-0.04-0.04-0.2-0.095-0.035-0.01-0.242-1.1-0.04-0.72-0.365-0.04-1.015-1.025-0.08-0.17-0.08-0.12-0.245-0.575-0.125-0.04-2.52-0.535-0.12-0.125-0.23-0.22-0.086+3.394-0.67-0.06-1.405+1.996+2.282-0.04-0.45-0.24-0.07-0.035-0.424-0.01-0.126-0.04-2.282-1.72-0.076+3.805+1.404</f>
        <v>5.243000000000003</v>
      </c>
      <c r="F35" s="25">
        <v>203000</v>
      </c>
    </row>
    <row r="36" spans="1:6">
      <c r="A36"/>
      <c r="B36" s="27" t="s">
        <v>928</v>
      </c>
      <c r="C36" s="24" t="s">
        <v>29</v>
      </c>
      <c r="D36" s="24" t="s">
        <v>233</v>
      </c>
      <c r="E36" s="53">
        <f>0.495-0.495+4.932-0.68-0.265-0.05-0.205+4.57-0.052+4.21+2.186+4.22-0.7-0.235-0.05-0.05-0.7-4.335-0.055-0.225-0.2-0.055-0.255-0.405-0.31-0.05-4.22-0.77-0.255-0.51-0.08-0.055-0.16+0.22-0.235-0.21-0.555-0.04-0.28-0.395-0.04-1.985-0.75-0.43-0.04-0.035-0.165-0.095-0.005-0.08-0.04-0.031+1.555+1.555+1.565+1.56+1.56+1.57+0.64-0.004-0.64-1.56-1.56-1.57-1.565-0.52-0.035-0.28-0.545-0.055+10.024-11.577+0.002+6.006-0.046-0.652+10.36-0.5-0.185-0.06-0.06-0.065+0.005-0.5-0.755-0.065-0.125-0.685</f>
        <v>12.792999999999996</v>
      </c>
      <c r="F36" s="25">
        <v>174000</v>
      </c>
    </row>
    <row r="37" spans="1:6">
      <c r="A37"/>
      <c r="B37" s="24" t="s">
        <v>234</v>
      </c>
      <c r="C37" s="24" t="s">
        <v>29</v>
      </c>
      <c r="D37" s="24" t="s">
        <v>233</v>
      </c>
      <c r="E37" s="53">
        <f>4.27-1.99-0.1-0.05-2.14+0.01+4.65-0.545-1.02-0.98-0.05-0.975-0.15-0.05+2.55-0.295-0.585-0.435-0.165-1.38+1.885+0.705-0.505-0.065-0.045-0.24-0.225-0.24-1.14-0.705+0.005+3.06+4.29-0.1+0.1-0.265-1.5-0.32-0.15-1.36-0.155-0.055-0.37-0.22-1.22-0.055-0.055-0.055-0.055-0.1-0.5-0.11+1.486+1.474+1.782-0.16-0.025-0.245-0.15-0.05</f>
        <v>4.916999999999998</v>
      </c>
      <c r="F37" s="25">
        <v>203000</v>
      </c>
    </row>
    <row r="38" spans="1:6">
      <c r="A38"/>
      <c r="B38" s="24">
        <v>20</v>
      </c>
      <c r="C38" s="24" t="s">
        <v>249</v>
      </c>
      <c r="D38" s="24" t="s">
        <v>233</v>
      </c>
      <c r="E38" s="53">
        <f>5.07-0.395-0.35-0.085-0.04-0.3-0.045-0.045-0.27-0.04-0.18-0.215-0.13+10.126-0.23+1.1+1.42+1.517+1.01-0.32-0.97-0.22-0.125-0.061-0.25-0.045-0.35-1.1-0.05-0.065-0.046-1.005-0.51-0.066-0.065-0.53-0.19-0.585-0.33-0.341-0.044-0.58-0.045-0.065-0.19-0.19-0.13-0.014-0.112-0.065-0.065</f>
        <v>9.1940000000000115</v>
      </c>
      <c r="F38" s="25">
        <v>169000</v>
      </c>
    </row>
    <row r="39" spans="1:6">
      <c r="A39"/>
      <c r="B39" s="24">
        <v>20</v>
      </c>
      <c r="C39" s="24" t="s">
        <v>252</v>
      </c>
      <c r="D39" s="24" t="s">
        <v>233</v>
      </c>
      <c r="E39" s="53">
        <f>1.502+1.51-0.295-0.52-0.415+0.029+0.842+0.308-0.175-0.115-0.52-0.272-0.7-0.093-0.605-0.215-0.02-0.195+0.52-0.52-0.051</f>
        <v>-6.2450045135165055E-17</v>
      </c>
      <c r="F39" s="25">
        <v>179900</v>
      </c>
    </row>
    <row r="40" spans="1:6">
      <c r="A40"/>
      <c r="B40" s="24">
        <v>20</v>
      </c>
      <c r="C40" s="24" t="s">
        <v>253</v>
      </c>
      <c r="D40" s="24" t="s">
        <v>233</v>
      </c>
      <c r="E40" s="53">
        <f>1.7+1.57+1.64-0.335-0.595-0.325-0.91-1.57-0.44-0.11-0.205-0.075-0.06-0.135-0.14-0.01</f>
        <v>1.1969591984239969E-16</v>
      </c>
      <c r="F40" s="25">
        <v>179900</v>
      </c>
    </row>
    <row r="41" spans="1:6">
      <c r="A41"/>
      <c r="B41" s="24">
        <v>20</v>
      </c>
      <c r="C41" s="24" t="s">
        <v>30</v>
      </c>
      <c r="D41" s="24" t="s">
        <v>233</v>
      </c>
      <c r="E41" s="53">
        <f>5.108-0.34-0.055-1.275-0.565-0.08-0.026-0.42-0.365-0.26-1.025-0.29-0.055-0.025-0.014-0.265-0.021+2.752+3.528+3.494-0.52-3.528-3.494-2.22+1.71+1.452+1.71+1.71+1.71+1.71-1-0.36-1.71-0.31-0.418-0.56-1.01-0.027-0.003-0.7-0.095-0.03-1.006+1.728+1.57+1.727-0.066-0.115-0.11-0.685-0.23-0.03-0.37-0.035-0.085-0.485-0.1-0.293-0.937-0.03-0.226-0.565-0.033</f>
        <v>3.4419999999999993</v>
      </c>
      <c r="F41" s="25">
        <v>180000</v>
      </c>
    </row>
    <row r="42" spans="1:6">
      <c r="A42"/>
      <c r="B42" s="24">
        <v>20</v>
      </c>
      <c r="C42" s="24" t="s">
        <v>254</v>
      </c>
      <c r="D42" s="24" t="s">
        <v>233</v>
      </c>
      <c r="E42" s="53">
        <f>0.455+0.855-0.05-0.115-0.075-0.095-0.06+5.16-0.57-0.795-0.497-3.6-0.268-0.242+0.125-0.035-0.008-0.06-0.007+0.007+3.962+1.94+3.956-3.94-0.035-0.43-0.09-1.51-0.155+0.133-3.956+12.91-0.035+0.035-0.46-0.102-0.208-6.375-5.75-0.015+1.435+1.44+1.43+1.44+1.44+1.44+1.4-0.78-0.655-1.44-0.545-0.51-0.656-0.1-0.24-0.345-0.434-0.006+0.006-0.064-0.52-0.26-1+5.98+4.01-0.1-0.42-5.98-4.01-0.845-0.23-0.052-0.22+15.03-0.065-0.035-1.455-1.386-0.075-0.276-0.42-0.11-6.2+0.002-0.075-0.195-0.155-0.538-0.077-0.116</f>
        <v>4.4630000000000027</v>
      </c>
      <c r="F42" s="25">
        <v>180500</v>
      </c>
    </row>
    <row r="43" spans="1:6">
      <c r="A43"/>
      <c r="B43" s="24">
        <v>20</v>
      </c>
      <c r="C43" s="24" t="s">
        <v>255</v>
      </c>
      <c r="D43" s="24" t="s">
        <v>233</v>
      </c>
      <c r="E43" s="53">
        <f>3.31+3.32-0.97-0.15-0.195-0.235-3.31-0.162-1.17-0.438+5.99+4.14+1.57+8.295-2.945-0.43-0.155-0.155-0.23-4.365-0.442-1.052-1.87-0.49-0.21-0.015-0.216-0.232-0.656-2.173-0.434-0.188+1.44+1.44+1.44+0.691-1.281-0.751-0.1-0.035-0.065-0.035-1.44-1.44-0.405-0.691-0.46-0.1-0.035+5+5.048-0.205-4.93-0.132-5.035-0.362-0.013-0.565-0.16-0.4-0.07-0.01</f>
        <v>7.5999999999995252E-2</v>
      </c>
      <c r="F43" s="25">
        <v>181500</v>
      </c>
    </row>
    <row r="44" spans="1:6">
      <c r="A44"/>
      <c r="B44" s="24">
        <v>20</v>
      </c>
      <c r="C44" s="24" t="s">
        <v>890</v>
      </c>
      <c r="D44" s="24" t="s">
        <v>233</v>
      </c>
      <c r="E44" s="53">
        <f>4.832-0.42-1.485-1.2-0.135-1.51-0.046</f>
        <v>3.599999999999963E-2</v>
      </c>
      <c r="F44" s="25">
        <v>179900</v>
      </c>
    </row>
    <row r="45" spans="1:6">
      <c r="A45"/>
      <c r="B45" s="24">
        <v>20</v>
      </c>
      <c r="C45" s="24" t="s">
        <v>891</v>
      </c>
      <c r="D45" s="24" t="s">
        <v>233</v>
      </c>
      <c r="E45" s="53">
        <f>3.327-0.717-0.078-0.196-0.34-0.345-0.99-0.05-0.05-0.2-0.293-0.002-0.05</f>
        <v>1.5999999999999723E-2</v>
      </c>
      <c r="F45" s="25">
        <v>179900</v>
      </c>
    </row>
    <row r="46" spans="1:6">
      <c r="A46"/>
      <c r="B46" s="24">
        <v>20</v>
      </c>
      <c r="C46" s="24" t="s">
        <v>257</v>
      </c>
      <c r="D46" s="24" t="s">
        <v>233</v>
      </c>
      <c r="E46" s="53">
        <f>5.685-0.04-0.5-0.19-0.5-0.57-0.04-0.85-0.155-0.105-0.995-0.075-0.19-0.04-0.15-1.225-0.04+4.554+4.568+1.036-0.375-0.14-0.015-0.005-0.025-0.28-0.235-0.28-0.14-0.05-0.425-0.28-0.28-0.185-0.05-0.14-0.23-0.045-1.5-0.23-0.375-0.48-1.04-1.98-0.095-0.51-0.544-0.206+6.12+3.86-0.58-0.23-0.23-0.155-0.075-1.04-1.905-0.12-0.69-0.15-0.715-0.391-0.802-1.522-0.686-0.115</f>
        <v>0.61199999999999644</v>
      </c>
      <c r="F46" s="25">
        <v>180000</v>
      </c>
    </row>
    <row r="47" spans="1:6">
      <c r="A47"/>
      <c r="B47" s="24">
        <v>20</v>
      </c>
      <c r="C47" s="24" t="s">
        <v>118</v>
      </c>
      <c r="D47" s="24" t="s">
        <v>233</v>
      </c>
      <c r="E47" s="53">
        <f>0.68-0.1-0.21-0.15-0.24+0.02+1.234+1.233+1.23+1.23-1.234-0.001-1.235+0.005-0.303-1.232-0.295-0.1-0.21-0.3</f>
        <v>2.2000000000000852E-2</v>
      </c>
      <c r="F47" s="25">
        <v>185000</v>
      </c>
    </row>
    <row r="48" spans="1:6">
      <c r="A48"/>
      <c r="B48" s="24">
        <v>20</v>
      </c>
      <c r="C48" s="24" t="s">
        <v>763</v>
      </c>
      <c r="D48" s="24" t="s">
        <v>233</v>
      </c>
      <c r="E48" s="53">
        <f>1.485+1.5-0.055-0.145-0.515-0.77-0.01-0.058-0.16-0.06-1.2-0.012</f>
        <v>0</v>
      </c>
      <c r="F48" s="25">
        <v>191000</v>
      </c>
    </row>
    <row r="49" spans="1:6">
      <c r="A49"/>
      <c r="B49" s="24">
        <v>20</v>
      </c>
      <c r="C49" s="24" t="s">
        <v>258</v>
      </c>
      <c r="D49" s="24" t="s">
        <v>233</v>
      </c>
      <c r="E49" s="53">
        <f>5.669-0.064-0.016-0.08-0.075-0.08-0.374-4.485-0.581+0.086+3.032-0.265-0.055-0.21-0.105-0.265-0.155-0.055-0.42-0.21-0.265-0.16-0.855-0.012</f>
        <v>-1.2108369862318114E-15</v>
      </c>
      <c r="F49" s="25">
        <v>192000</v>
      </c>
    </row>
    <row r="50" spans="1:6">
      <c r="A50"/>
      <c r="B50" s="24">
        <v>20</v>
      </c>
      <c r="C50" s="24" t="s">
        <v>259</v>
      </c>
      <c r="D50" s="24" t="s">
        <v>233</v>
      </c>
      <c r="E50" s="53">
        <f>13.89-0.52-3.51-0.075-2.81-0.22-2.145-0.075-0.3-0.52-1.355-1.005-0.335-0.52-0.09-0.185-0.015+2.964+0.152-0.6-0.065-0.152-0.21-0.098-0.2-0.46+4.37</f>
        <v>5.9110000000000014</v>
      </c>
      <c r="F50" s="25">
        <v>181000</v>
      </c>
    </row>
    <row r="51" spans="1:6">
      <c r="A51"/>
      <c r="B51" s="24">
        <v>20</v>
      </c>
      <c r="C51" s="24" t="s">
        <v>767</v>
      </c>
      <c r="D51" s="24" t="s">
        <v>233</v>
      </c>
      <c r="E51" s="53">
        <f>3.038-0.57-0.165-0.795-0.13-0.47-0.41-0.185-0.075-0.21-0.03+0.002</f>
        <v>1.6479873021779667E-16</v>
      </c>
      <c r="F51" s="25">
        <v>185000</v>
      </c>
    </row>
    <row r="52" spans="1:6">
      <c r="A52"/>
      <c r="B52" s="24">
        <v>20</v>
      </c>
      <c r="C52" s="24" t="s">
        <v>260</v>
      </c>
      <c r="D52" s="24" t="s">
        <v>233</v>
      </c>
      <c r="E52" s="53">
        <f>21.271-1.015-0.042-0.105-0.59-0.16-0.05-1.175-0.32-2.365-0.38</f>
        <v>15.068999999999996</v>
      </c>
      <c r="F52" s="25">
        <v>181000</v>
      </c>
    </row>
    <row r="53" spans="1:6">
      <c r="A53"/>
      <c r="B53" s="24">
        <v>20</v>
      </c>
      <c r="C53" s="24" t="s">
        <v>261</v>
      </c>
      <c r="D53" s="24" t="s">
        <v>233</v>
      </c>
      <c r="E53" s="53">
        <f>21.147-0.2-0.265-1.98-0.265-0.136-0.065-0.526-1.735-1.72-0.99-0.071-1.01-0.135-0.065-0.135-0.33</f>
        <v>11.518999999999998</v>
      </c>
      <c r="F53" s="25">
        <v>181000</v>
      </c>
    </row>
    <row r="54" spans="1:6">
      <c r="A54"/>
      <c r="B54" s="24">
        <v>20</v>
      </c>
      <c r="C54" s="24" t="s">
        <v>769</v>
      </c>
      <c r="D54" s="24" t="s">
        <v>233</v>
      </c>
      <c r="E54" s="53">
        <f>2.93-0.25-0.45-0.165-1.9+2.07+2.03+2.045+1.965+1.755-0.025-0.75-0.035-1.13-0.49-0.625-0.39-0.595-0.04-1.5-2.045-1.262</f>
        <v>1.1430000000000002</v>
      </c>
      <c r="F54" s="25">
        <v>183000</v>
      </c>
    </row>
    <row r="55" spans="1:6">
      <c r="A55"/>
      <c r="B55" s="24">
        <v>20</v>
      </c>
      <c r="C55" s="24" t="s">
        <v>265</v>
      </c>
      <c r="D55" s="24" t="s">
        <v>233</v>
      </c>
      <c r="E55" s="53">
        <f>9.145-0.908-0.607-0.155-0.39-1.18-0.58-0.246-3.492-1.02-0.113-0.067-0.172-0.08+3.026-0.26-0.51-1.216-1.034+1.512-0.006+3.554-2.47-1.07-1.512-0.149+0.72+1.435+1.435+1.43-0.011-1.435-0.565-0.88-0.23-0.034-0.032-0.403-1.43+2.3+2.68-2.3-1.112-0.422-0.04</f>
        <v>1.1060000000000005</v>
      </c>
      <c r="F55" s="25">
        <v>180000</v>
      </c>
    </row>
    <row r="56" spans="1:6">
      <c r="A56"/>
      <c r="B56" s="24">
        <v>20</v>
      </c>
      <c r="C56" s="24" t="s">
        <v>266</v>
      </c>
      <c r="D56" s="24" t="s">
        <v>233</v>
      </c>
      <c r="E56" s="53">
        <f>4.19+4.188+1.75+1.91-4.19-1.302-0.04-1.815-0.16-0.265-0.95-0.335-0.32-0.11-0.37-1.8-0.1-0.124-0.185+0.032-0.004+14.765-0.98+1.68+1.685+1.68+1.68+1.67+1.67-0.22-0.011-1.68-1.045-0.21-0.98-0.09-1.02-0.114-0.115-0.115-0.306-0.09-0.115-0.22-7.955-1.68-1.67-3.875-1.674-0.782+0.147</f>
        <v>3.0000000000009325E-2</v>
      </c>
      <c r="F56" s="25">
        <v>180000</v>
      </c>
    </row>
    <row r="57" spans="1:6">
      <c r="A57"/>
      <c r="B57" s="24">
        <v>20</v>
      </c>
      <c r="C57" s="24" t="s">
        <v>267</v>
      </c>
      <c r="D57" s="24" t="s">
        <v>233</v>
      </c>
      <c r="E57" s="53">
        <f>10.406-0.06-0.01-0.29-0.525-0.06-1.665-0.18-0.06-1.485-0.068-0.235-0.88-0.235-0.985-0.118-0.125-0.472-0.69-0.06-0.585-0.238-0.122-0.52-0.595-0.025-0.06-0.055+3.386+1.692-0.99-1.588-0.468-1.045-0.71-0.236+0.008+1.695+1.695+1.695-0.006-0.59-0.09-0.135-0.225-0.09-0.505-1.693-1.148-0.049-0.05</f>
        <v>0.55600000000000216</v>
      </c>
      <c r="F57" s="25">
        <v>180000</v>
      </c>
    </row>
    <row r="58" spans="1:6">
      <c r="A58"/>
      <c r="B58" s="24">
        <v>20</v>
      </c>
      <c r="C58" s="24" t="s">
        <v>268</v>
      </c>
      <c r="D58" s="24" t="s">
        <v>233</v>
      </c>
      <c r="E58" s="53">
        <f>2.644+3.73+3.742-0.985-0.14-0.05-0.14-0.255-2.01-0.1-0.29-0.815-0.255-0.905-0.075-0.36+0.006-3.005+1.24+1.24+1.299+1.24-1.305-0.7+0.006-0.11-0.05-0.365-0.105-1.24-1.25-0.11-0.371-0.001+0.01-0.105-0.065+0.005+2.324+2.324+2.34-2.324-0.49-0.975-0.61-0.065-0.185-1.415-0.185</f>
        <v>0.73899999999999766</v>
      </c>
      <c r="F58" s="25">
        <v>182000</v>
      </c>
    </row>
    <row r="59" spans="1:6">
      <c r="A59"/>
      <c r="B59" s="24">
        <v>20</v>
      </c>
      <c r="C59" s="24" t="s">
        <v>270</v>
      </c>
      <c r="D59" s="24" t="s">
        <v>233</v>
      </c>
      <c r="E59" s="53">
        <f>0</f>
        <v>0</v>
      </c>
      <c r="F59" s="25">
        <v>182000</v>
      </c>
    </row>
    <row r="60" spans="1:6">
      <c r="A60"/>
      <c r="B60" s="24">
        <v>20</v>
      </c>
      <c r="C60" s="24" t="s">
        <v>273</v>
      </c>
      <c r="D60" s="24" t="s">
        <v>233</v>
      </c>
      <c r="E60" s="53">
        <f>1.452+1.51-0.235-0.355-0.065-0.235-0.065-0.295-0.056-0.056-0.115-0.1-0.056-0.235-0.235-0.245-0.36-0.115-0.06-0.06-0.019</f>
        <v>-9.3675067702747583E-17</v>
      </c>
      <c r="F60" s="25">
        <v>191000</v>
      </c>
    </row>
    <row r="61" spans="1:6">
      <c r="A61"/>
      <c r="B61" s="24">
        <v>20</v>
      </c>
      <c r="C61" s="24" t="s">
        <v>274</v>
      </c>
      <c r="D61" s="24" t="s">
        <v>233</v>
      </c>
      <c r="E61" s="53">
        <f>0.59</f>
        <v>0.59</v>
      </c>
      <c r="F61" s="25">
        <v>191000</v>
      </c>
    </row>
    <row r="62" spans="1:6">
      <c r="A62"/>
      <c r="B62" s="24">
        <v>20</v>
      </c>
      <c r="C62" s="24" t="s">
        <v>276</v>
      </c>
      <c r="D62" s="24" t="s">
        <v>233</v>
      </c>
      <c r="E62" s="53">
        <f>6.759-0.082-0.811-0.35+0.013-0.055-2.99-0.516-0.185-0.005-0.73-0.087-0.175+2.24-2.25-0.595+0.01+4.23+4.26+4.88-0.225-0.18-2.405-0.045-1.33-0.535-0.23-0.405-0.09-0.035-0.005+0.005-2.49-0.225-0.27-1.68-0.495-0.9-0.085-0.13-0.18-0.05-0.085-0.72-0.245-0.03-0.2-0.046-0.046-0.059-0.109-0.021-0.088+0.073+10.13</f>
        <v>10.130000000000003</v>
      </c>
      <c r="F62" s="25">
        <v>166000</v>
      </c>
    </row>
    <row r="63" spans="1:6">
      <c r="A63"/>
      <c r="B63" s="24" t="s">
        <v>234</v>
      </c>
      <c r="C63" s="24" t="s">
        <v>276</v>
      </c>
      <c r="D63" s="24" t="s">
        <v>233</v>
      </c>
      <c r="E63" s="53">
        <f>6.929-0.043-3.545-1.725+0.004-0.085-0.043+0.081-1.245-0.247+1.4+3.84-0.175-0.48-0.13-2.1-0.87-0.09-0.05-0.05-0.48-0.07-0.06-0.09-0.515-0.055-0.106</f>
        <v>0</v>
      </c>
      <c r="F63" s="25">
        <v>186000</v>
      </c>
    </row>
    <row r="64" spans="1:6">
      <c r="A64"/>
      <c r="B64" s="24" t="s">
        <v>928</v>
      </c>
      <c r="C64" s="24" t="s">
        <v>277</v>
      </c>
      <c r="D64" s="24" t="s">
        <v>233</v>
      </c>
      <c r="E64" s="53">
        <f>57.241-0.81-0.05-0.145-0.05-0.985-0.25-0.165-0.05-0.345-0.04-2.315-0.09-0.51-0.395-1.395-0.31-0.28-0.09-1.215-0.005-2.03+0.09-1.605-0.45-0.09-0.535-0.14-0.045-0.135-0.13-0.41-0.09-21.635-0.28+21.635-0.147-0.094-0.139-0.045-0.625-0.09-0.265-0.045-0.005-0.095-0.335-0.09-0.135-3.035-0.1-0.225-0.045-0.005-0.135-1.575-0.045-0.09-0.45-2.025-0.72-1.132-0.135-0.05-0.49-1.335-0.355+0.49-3.02-1.57-20.39-0.22-0.121-0.139-0.205-0.06-0.23-0.495+20.308-20.308-0.045-0.27-0.09-0.045+5-1.395-0.05+0.005-0.18-0.445-2.775-0.09-0.61-0.05+20.02-0.15-20.02+19.99-0.131-0.165-0.005-0.035+4.665+0.32-0.205-12.04-0.105-0.155+6.98-4.665-0.165-0.22-0.045-1.195-0.73-3.295-1.11+1.025+19.985-3.015+10.08-0.165-0.33-0.205-0.055-19.985-1.045+3.745-3.16-0.835-0.105-1.34-0.155+19.912-15.494-0.155-0.27-0.26-0.295+12.82-0.103-0.105-0.055</f>
        <v>28.812999999999956</v>
      </c>
      <c r="F64" s="25">
        <v>162500</v>
      </c>
    </row>
    <row r="65" spans="1:6">
      <c r="A65"/>
      <c r="B65" s="24" t="s">
        <v>234</v>
      </c>
      <c r="C65" s="24" t="s">
        <v>277</v>
      </c>
      <c r="D65" s="24" t="s">
        <v>233</v>
      </c>
      <c r="E65" s="53">
        <f>0.75-0.535+2.252+2.274+3.392-1.98-0.13+7.701-1.085-0.045-3.392-0.05+0.05+1.43+1.6+1.23+2.4+0.96-0.46-1.117-0.139-0.05-0.196+1.396+2.919-0.5-6.012-0.515-0.36-0.96-0.05-0.046-0.2+2.85-0.125-0.05-0.05-2.4-1.493-2.919-0.184-0.395-0.45-0.35-0.05-0.862-0.138-0.35-0.3+11.32-1.01-0.896-0.106+0.016-0.052-0.005-0.1-6.05-0.06-0.31-0.204-0.915-0.455-0.204-0.005-0.07-0.412-1.006-0.602-0.256-0.102-0.253+3.624+3.15+0.554-1.008-3.15-0.22-0.115-0.27-0.275-0.219-0.041-1.11-0.36+0.053-1.05-0.15-0.145-0.275-0.04-0.102-0.065-0.058-0.107-0.042-0.053+0.017-0.047-0.003+0.001+1.74+1.818-1.74-0.225-0.545-0.048-0.456-0.455-0.05+0.027-0.089+0.09+5.058-0.89-4.168-0.095+0.005+4.84+4.99-2.033+9.975+7.005-0.015-4.99-1.095-1.255-0.047-0.043-0.72-0.086-0.18-0.33-0.255-0.2-0.145-0.295</f>
        <v>15.120999999999999</v>
      </c>
      <c r="F65" s="25">
        <v>167500</v>
      </c>
    </row>
    <row r="66" spans="1:6">
      <c r="A66"/>
      <c r="B66" s="24">
        <v>20</v>
      </c>
      <c r="C66" s="24" t="s">
        <v>32</v>
      </c>
      <c r="D66" s="24" t="s">
        <v>233</v>
      </c>
      <c r="E66" s="53">
        <f>34.272-0.255-0.13-3.24+19.459-0.065-0.065+13.9-0.973+11.12-0.365-1.01-0.13-0.065-0.065-0.065-0.32-0.06-0.065-0.031-0.445-0.089-0.03-0.035-0.64-1.77-0.125-0.052-0.087-0.181-0.13-0.82-0.315-0.825+0.949-0.26-0.82-1.71-0.51+18.96-0.065-0.76-0.63-0.25-0.065-0.065-0.25-0.12-0.395-0.07-0.06-0.705-0.82-0.065-0.19-0.32-0.125-0.055-0.065-2.58-0.06-0.195-10.435-2.965-0.77-0.25-0.19-0.11-1.14-12.22-0.949-0.063-1.265-0.19-0.19-0.123-0.23-0.45-1.705-20.03-0.455-20.075-0.019-0.565-0.065-0.065+0.26+25.045-0.065-10.024+0.065+25.246-6.562-0.811+6.035+2.244+2.751+0.995-0.19-0.44-0.625-0.999-1.38-0.06-1.14-0.25-0.19-0.065-0.375-1.055-1.385-1.255-0.065-0.809-7.643-0.468-1.59-2.406+0.065-0.115-0.055-0.22-0.06-0.385-0.07+0.07-0.075-0.045-0.006-3.342-2.698-1.76-1.137-0.38-0.43-0.545-0.055+4.985+20.105+10-0.11-0.055-1.01-4.65-7.065-0.49-0.201+9.341-4.951-0.019-0.091-0.165-0.687-0.15-0.055-0.055+29.097-0.295+2.446-0.937-2.244-1.325-1.9-0.31-0.263-0.097-0.716-0.716-0.053-0.064-0.416-0.06-4.007-0.125-0.19-1.23-0.125-0.56</f>
        <v>52.616000000000085</v>
      </c>
      <c r="F66" s="25">
        <v>152500</v>
      </c>
    </row>
    <row r="67" spans="1:6">
      <c r="A67"/>
      <c r="B67" s="24" t="s">
        <v>234</v>
      </c>
      <c r="C67" s="24" t="s">
        <v>32</v>
      </c>
      <c r="D67" s="24" t="s">
        <v>233</v>
      </c>
      <c r="E67" s="53">
        <f>46.925-4.513-0.014-1.136-2.675-0.514-0.58-0.13-0.065-0.065-4.503-0.135-0.39-5.005-0.52-0.06-0.195-0.205-0.3-2.035-1.432-4.517-1.483-1.105-0.06-1.586-0.26-2.025-4.496-1.512-0.401-2.979-0.13+1.327-0.06-1.327-0.525-0.43-0.475-0.081-0.06-0.165+20.435-19.99-0.445-0.031+0.015+0.062+2.611+19.608+14.805-0.77-1.715-2.02-2.974-19.608-0.126-0.596-1.33-0.12-7.765+16.404+34.511-9.995+11.346+9.405-0.67-2.001-6.661-2.035-0.269-0.734-0.002-0.423-0.25-4.687-1.005-14.602-2.009-3.694-0.025-0.165-0.055-1.01-0.944-0.125-0.19-1.96-0.25-1.304-0.18-0.23-0.377-3.603-0.31-0.562-0.81-0.125-0.25-0.865-0.31+10.09+5.516-0.555-0.83-1.488-3.987-0.242-0.297-0.116-0.06-0.06-0.832-0.235-0.125+15.668-0.993-2.015-0.112-8.07-4-0.06-0.163-0.002-0.051-0.108-0.495-0.365-0.44-0.155-1.514-0.486-0.055-0.06-0.92</f>
        <v>11.510999999999989</v>
      </c>
      <c r="F67" s="25">
        <v>157500</v>
      </c>
    </row>
    <row r="68" spans="1:6">
      <c r="A68"/>
      <c r="B68" s="24">
        <v>20</v>
      </c>
      <c r="C68" s="24" t="s">
        <v>154</v>
      </c>
      <c r="D68" s="24" t="s">
        <v>233</v>
      </c>
      <c r="E68" s="53">
        <f>2.357-2.357+0.573+2.03+1.98+0.41-0.573-0.07-1.135-0.7-0.205-1.065+2.416+1.508+1.04-0.126-0.11-0.186-0.335-0.476-0.066-0.065-0.265-0.41-0.062-0.682-0.498-0.12-0.492-0.06-0.355+0.06-0.035-0.068-0.066-0.127-0.062-0.025-0.36-0.06-0.062-0.002-0.298-0.646-0.096-0.004-0.022+9.996-0.365-0.075-1.01-0.06+0.032+0.06-5.85-0.276-0.159-0.07-0.29-0.29-0.245-0.625-0.06-0.79+0.049+3.36+3.345+1.425</f>
        <v>8.1300000000000008</v>
      </c>
      <c r="F68" s="25">
        <v>152500</v>
      </c>
    </row>
    <row r="69" spans="1:6">
      <c r="A69"/>
      <c r="B69" s="26" t="s">
        <v>1124</v>
      </c>
      <c r="C69" s="24" t="s">
        <v>119</v>
      </c>
      <c r="D69" s="24" t="s">
        <v>233</v>
      </c>
      <c r="E69" s="53">
        <f>0.143</f>
        <v>0.14299999999999999</v>
      </c>
      <c r="F69" s="25">
        <v>152500</v>
      </c>
    </row>
    <row r="70" spans="1:6">
      <c r="A70"/>
      <c r="B70" s="27" t="s">
        <v>928</v>
      </c>
      <c r="C70" s="24" t="s">
        <v>119</v>
      </c>
      <c r="D70" s="24" t="s">
        <v>233</v>
      </c>
      <c r="E70" s="53">
        <f>72.966-0.076-0.08-0.155-0.077-0.618-0.075-0.235-0.155-0.23+0.38-0.38-0.08-0.61-0.111-0.239-0.425-0.305-0.46-0.23-2.447-0.62-0.08-0.155-1-0.31-0.071-0.012-0.151-0.231-1.01-0.61-0.54-0.615-0.058-0.55-0.16-0.23+0.615-14.701-1.152-1.152-0.844-0.615-0.155-1.14-0.85-1.703-0.063-2.87-0.08-0.68-0.449-1.31-0.08-0.385-0.156-0.156-0.925-0.46+0.329-0.695-0.08-0.235-0.305-0.925-0.462-0.831-0.094-1.86-1-1.01-0.073-0.076-1.16-0.012-0.001-0.217-0.08-0.08-0.393-0.758-1.615-0.155-2.847-0.075-0.694-1.16-0.62-0.25-0.38-0.45-0.38-0.189-0.196+0.057-1.005-0.075-1.235-0.083-0.376-0.93-0.08-0.078-0.39-0.385-0.533-0.535-0.08-0.54-2.844-1.156+0.39-0.076-0.079-0.39</f>
        <v>1.1919999999999926</v>
      </c>
      <c r="F70" s="25">
        <v>152500</v>
      </c>
    </row>
    <row r="71" spans="1:6">
      <c r="A71"/>
      <c r="B71" s="24" t="s">
        <v>234</v>
      </c>
      <c r="C71" s="24" t="s">
        <v>119</v>
      </c>
      <c r="D71" s="24" t="s">
        <v>233</v>
      </c>
      <c r="E71" s="53">
        <f>29.917-6.204-1.6-4.446-4.448-2.049-0.23-0.875-0.15+4.621+4.632+4.619+4.888-0.29-0.08+3.215+4.62+4.244-1.68-3.644-1.389-2.47-0.075-0.565-2.01-0.725-0.075-0.245-0.915-4.632-0.155-1.045-0.075-0.075-1.52-0.155-0.36-0.02-0.23-0.08-0.16-0.3-3.8-0.08-2.05-0.22-0.155+18.795+2.456-0.15-0.15-0.08-0.078-0.78-0.388-0.465-0.46-0.15-0.3-0.23-0.155-0.234-0.08-0.62-0.388-0.31-0.46-0.158-0.305-0.078-2.632-0.075-0.31-0.535-0.306-0.075-0.3-1.16+1.791-0.99+18.074-0.846-0.455-1.22-0.08-0.232-0.08-0.464-0.23-0.154-0.152-0.305-1.52-0.604-0.006-0.075-0.695-0.077-0.31-0.225-0.455-1.387-0.755-0.15-1.073-0.075-0.3-0.075-0.52-0.15-1.495-0.385-0.155-0.31-0.38-1.435-0.075-0.455-0.075-0.235-0.075-0.075-0.856-0.075-0.216-0.385-0.67-0.08-0.075-0.157-0.155-0.23-3.075-0.075-0.23-0.156-0.005-0.146-0.076-0.156-0.42-0.157-0.075-0.225-0.075-0.116-0.032-0.007-0.38-0.225-0.305-1.01-2.19-0.15-0.155-0.155</f>
        <v>9.878000000000009</v>
      </c>
      <c r="F71" s="25">
        <v>157500</v>
      </c>
    </row>
    <row r="72" spans="1:6">
      <c r="A72"/>
      <c r="B72" s="26" t="s">
        <v>1124</v>
      </c>
      <c r="C72" s="24" t="s">
        <v>278</v>
      </c>
      <c r="D72" s="24" t="s">
        <v>233</v>
      </c>
      <c r="E72" s="53">
        <f>2.605</f>
        <v>2.605</v>
      </c>
      <c r="F72" s="25">
        <v>152500</v>
      </c>
    </row>
    <row r="73" spans="1:6">
      <c r="A73"/>
      <c r="B73" s="27" t="s">
        <v>928</v>
      </c>
      <c r="C73" s="24" t="s">
        <v>278</v>
      </c>
      <c r="D73" s="24" t="s">
        <v>233</v>
      </c>
      <c r="E73" s="53">
        <f>38.703-0.714-0.18+1.04+1.2+13.391-0.27-0.63-0.08-0.71-1.494-0.56-1.154-2.897+0.052-0.715-1.18-0.08-1.42-0.08-2.582-0.47-0.18-0.27-0.27-0.16-2.591-2.597-0.16-0.175-0.09-0.32-0.235-0.08-0.55-0.555-0.16-1.174-0.09-13.656-3.054-0.79-0.86-1.324-0.39-0.03-0.082-2.435-0.385-0.06+0.026+0.031+21.218-2.035-0.09-0.09-0.073-2.9-2.898-0.47-0.399-0.15-1.255-0.08-11.031-0.17-0.44-0.09-0.085+20.989-0.47-0.705-2.31-0.15-0.315-0.08-0.155-0.105-0.055-0.233-0.08-1.02-0.16-2.51-0.235-0.08-1.018-0.086-0.078-0.012-0.385-4.534-0.08</f>
        <v>11.599000000000016</v>
      </c>
      <c r="F73" s="25">
        <v>152500</v>
      </c>
    </row>
    <row r="74" spans="1:6">
      <c r="A74"/>
      <c r="B74" s="24" t="s">
        <v>234</v>
      </c>
      <c r="C74" s="24" t="s">
        <v>278</v>
      </c>
      <c r="D74" s="24" t="s">
        <v>233</v>
      </c>
      <c r="E74" s="53">
        <f>39.16-1.015-0.465-0.16-0.735-0.082-0.075-0.082-0.395-0.082-0.87-0.08-0.08-0.004-0.016-0.6-0.21-3.135-1.335-20.016-0.08-0.09-0.155-0.152-0.208-0.015+20.404-0.075-0.008-0.065-0.08-0.075-1.058-0.009-0.305-0.32-10.97-0.425-0.61-0.596-0.085-0.906-0.611-0.075-0.09-0.034-0.051-6.92-0.382-0.61-0.08-0.685-0.91-1.153-0.16-0.16-0.155-0.08+0.021-0.08+21.01-0.61-0.151-0.765-0.07-2.429-0.53-14.02-0.155+20.92-0.294-0.178-0.018-2.799-0.974-2.673-0.268-0.08-0.53+0.08+0.006-2.431-0.351-0.626-0.27-0.025-1.329-4.799-0.176-0.481-0.134+28.036+2.704-0.235-0.47-0.08-1.238-0.774-0.94-0.155-0.155-0.78-0.154-0.001-0.155-0.44-1.05-2.881-0.08-0.621-0.235-0.38-1.005-0.071-0.006-0.234-0.155-0.08-0.235-1.01-0.155-0.146-0.089-0.69-0.08-0.085-0.465-0.155-0.224-0.243-0.235-1.555-0.525-0.625-0.472-0.08-0.235-0.09-0.16-0.26</f>
        <v>17.026000000000003</v>
      </c>
      <c r="F74" s="25">
        <v>157500</v>
      </c>
    </row>
    <row r="75" spans="1:6">
      <c r="A75"/>
      <c r="B75" s="24">
        <v>20</v>
      </c>
      <c r="C75" s="24" t="s">
        <v>279</v>
      </c>
      <c r="D75" s="24" t="s">
        <v>233</v>
      </c>
      <c r="E75" s="53">
        <f>5.061-0.182-0.092-3.816-0.09-0.446-0.452+0.017+2.41-0.36-1.618-0.435+0.003+0.89+1.04-0.11-0.09-0.88-0.09-0.6-0.12</f>
        <v>4.0000000000000036E-2</v>
      </c>
      <c r="F75" s="25">
        <v>150000</v>
      </c>
    </row>
    <row r="76" spans="1:6">
      <c r="A76"/>
      <c r="B76" s="28">
        <v>10</v>
      </c>
      <c r="C76" s="24" t="s">
        <v>280</v>
      </c>
      <c r="D76" s="24" t="s">
        <v>233</v>
      </c>
      <c r="E76" s="53">
        <f>5.1</f>
        <v>5.0999999999999996</v>
      </c>
      <c r="F76" s="25">
        <v>150000</v>
      </c>
    </row>
    <row r="77" spans="1:6">
      <c r="A77"/>
      <c r="B77" s="24">
        <v>20</v>
      </c>
      <c r="C77" s="24" t="s">
        <v>280</v>
      </c>
      <c r="D77" s="24" t="s">
        <v>233</v>
      </c>
      <c r="E77" s="53">
        <f>25.406-0.115-0.72-0.115-0.62-0.105-0.695-0.115-4.277-4.245-4.26-0.115-0.23-3.563-0.58-0.115-1.5-0.115-1.855-0.115-0.115-0.52+21.534-0.1-0.105-0.354-0.145-0.195-0.822+21.804-0.118-0.116-0.355-0.116-0.115-0.12-0.816-0.12-0.114-0.116-0.117-0.116-0.115-1.035-0.115-0.106+0.088-0.578-0.115-0.7-0.58-2.428-0.355-1.04-0.463-0.125-12.007-0.116-0.235-0.238-0.116-0.46-0.811-2.545-0.231-0.115-0.117-0.121-0.231-0.465-0.35-0.113-2.992-0.11-0.225-0.086-0.695-0.12-0.35</f>
        <v>10.078000000000003</v>
      </c>
      <c r="F77" s="25">
        <v>150000</v>
      </c>
    </row>
    <row r="78" spans="1:6">
      <c r="A78"/>
      <c r="B78" s="24" t="s">
        <v>234</v>
      </c>
      <c r="C78" s="24" t="s">
        <v>280</v>
      </c>
      <c r="D78" s="24" t="s">
        <v>233</v>
      </c>
      <c r="E78" s="53">
        <f>16.073-0.678-0.153-0.059-0.215-0.112-0.118-0.114-0.085-2.596-0.104-0.17-0.112-0.112+0.085-1.244-1.02+1.33-0.667+0.04-0.114-0.1-2.138-0.341-0.228-0.08-0.68-0.114-0.11-0.114-0.21-0.114-0.34-0.112-0.1-0.114-0.53-0.118-0.23-0.235+20.543-0.117-0.228-1.37-0.34-0.34-0.08-0.08-0.116-0.116-0.8-0.31-0.673-0.112-0.908+0.094-1.255-0.342-0.18-0.46-0.567-0.116-0.116-0.17-0.347-0.116-0.23-0.226-0.571-0.916-0.095-0.115-0.112-0.116-0.231-1.376</f>
        <v>11.237000000000004</v>
      </c>
      <c r="F78" s="25">
        <v>152500</v>
      </c>
    </row>
    <row r="79" spans="1:6">
      <c r="A79"/>
      <c r="B79" s="24">
        <v>20</v>
      </c>
      <c r="C79" s="24" t="s">
        <v>281</v>
      </c>
      <c r="D79" s="24" t="s">
        <v>233</v>
      </c>
      <c r="E79" s="53">
        <f>9.324-0.66-0.54-3.95-0.25-0.231-0.208-0.31-0.205+5.016+20.953+15.887-0.422-0.422-0.105-20.953-0.144-1.545-0.274-0.3-0.422-1.02-2.646-0.42-0.14-0.416-2.653-2.643-2.654-2.653-2.078-2.921+0.005+4.509+4.507+4.524+4.102+4.51-0.14-0.275-4.524-2.045-0.545-0.135-0.135+19.728-20.003-0.14-13.666-0.14-0.132+20.675-0.255-2.427-2.422-2.42-2.433-0.255-10.333-0.13</f>
        <v>1.1435297153639112E-14</v>
      </c>
      <c r="F79" s="25">
        <v>157500</v>
      </c>
    </row>
    <row r="80" spans="1:6">
      <c r="A80"/>
      <c r="B80" s="24" t="s">
        <v>234</v>
      </c>
      <c r="C80" s="24" t="s">
        <v>281</v>
      </c>
      <c r="D80" s="24" t="s">
        <v>233</v>
      </c>
      <c r="E80" s="53">
        <f>4.54-0.1-0.215-0.115-0.105-0.11-0.105-0.91-0.21-0.3-0.105-0.2-0.115+2.675+2.435-0.1-0.81-0.305-0.1-0.31-0.115-0.12-0.405-0.115-0.57-0.11-0.116-0.58-0.235-1.08-0.12+4.9-0.355-0.055-0.82-0.145-0.195-1.88-0.215+2.73+2.79-0.625-0.44-0.106-0.118-0.45-0.11-0.21-0.012-0.235-0.22-0.115-0.425-0.11-2.79-0.145-0.11-0.11-0.85-0.03-0.11-0.226+3.88+4.375+0.03-4.375-0.52-2.005-0.092+4.022+4.412+4.401+4.416+4.398-1.35-0.26-0.27-0.27-0.27-1.48-0.104-0.395-0.795-1.326-0.135-0.335-0.535-0.1-0.405-0.22+0.006-0.135-0.135-0.4-0.135-0.405-0.122-0.013-0.135-0.4-4.416-4.131-0.663-2.01-0.27-0.135-1.728-0.132-0.01+9.467+11.053-0.109-2.206-1.475-0.125</f>
        <v>17.004999999999992</v>
      </c>
      <c r="F80" s="25">
        <v>162500</v>
      </c>
    </row>
    <row r="81" spans="1:6">
      <c r="A81"/>
      <c r="B81" s="24">
        <v>20</v>
      </c>
      <c r="C81" s="24" t="s">
        <v>282</v>
      </c>
      <c r="D81" s="24" t="s">
        <v>233</v>
      </c>
      <c r="E81" s="53">
        <f>4.735+1.315-0.265-0.14-0.13-0.265-0.14-0.53-2.765-0.14-0.89-0.68-0.135+0.03+4.92+4.77-1.46-0.14-1.44-0.395-3.46-2.795+4.8-0.265-4.546+0.011+10.62-1.44-0.13-3.195-0.13-0.135-1.295-0.13-2.695+1.266+0.125+2.62+2.48-2.48-0.13-0.132+4.525+2.92+2.78-0.125-4.02-0.48-0.675-0.505-2.92-2.78-2.62-1.145+0.011+4.765+4.805-3.56-0.235-0.075-0.07-0.115-0.465-1.5-3.2-0.47+4.89+4.78-0.454-0.114-4.196-0.234+4.196-1.995-1.046-0.12+0.055-1.045-0.118+3.43+3.535+4.43-1.156-0.835-0.118+3.655-0.122-0.245-4.43-1.765-3.42-0.572+0.007-1.152-0.008-0.12-1.72-3.29-0.83+0.062+15.926-0.086-0.084-0.086+21.214-3.234-5.093-0.16-0.158-0.326-3.865-3.398-3.072-0.418-5.862-0.486-0.422-1.512-0.16+22.025-0.82-2.704-0.647-2.985-1.095-0.135-2.733-1.777-1.618-2.736-0.545-0.162-0.325-0.27-0.082-2.441-0.14-1.495-0.647-1.446+19.902-0.27-2.528-0.475-0.33-0.635-0.474+20.02-1.105-0.165-0.945-1.13-0.95-0.06-0.361-0.63-0.326-0.16-1.58-1.125-0.317-0.314-0.63-2.74-1.77-1.425-0.165-1.61-0.948-0.477-0.025</f>
        <v>22.191999999999982</v>
      </c>
      <c r="F81" s="25">
        <v>147500</v>
      </c>
    </row>
    <row r="82" spans="1:6">
      <c r="A82"/>
      <c r="B82" s="24" t="s">
        <v>234</v>
      </c>
      <c r="C82" s="24" t="s">
        <v>282</v>
      </c>
      <c r="D82" s="24" t="s">
        <v>233</v>
      </c>
      <c r="E82" s="53">
        <f>0.1199-0.12+4.13-0.13-2.204-0.13-1.034-0.13+2.595+2.61-0.132-0.435-0.132-0.132-0.115-0.115-0.11-0.22-1.09-0.115-2.65-0.395+0.04-0.126+0.02+0.15-0.11-0.04+2.52+2.42-0.115-0.135-0.405-1.02-0.12-0.12-0.135</f>
        <v>2.8899000000000008</v>
      </c>
      <c r="F82" s="25">
        <v>161500</v>
      </c>
    </row>
    <row r="83" spans="1:6">
      <c r="A83"/>
      <c r="B83" s="24">
        <v>20</v>
      </c>
      <c r="C83" s="24" t="s">
        <v>283</v>
      </c>
      <c r="D83" s="24" t="s">
        <v>233</v>
      </c>
      <c r="E83" s="53">
        <f>4.68-4.68+2.64-2.64+0.45</f>
        <v>0.45</v>
      </c>
      <c r="F83" s="25">
        <v>157500</v>
      </c>
    </row>
    <row r="84" spans="1:6">
      <c r="A84"/>
      <c r="B84" s="24" t="s">
        <v>234</v>
      </c>
      <c r="C84" s="24" t="s">
        <v>283</v>
      </c>
      <c r="D84" s="24" t="s">
        <v>233</v>
      </c>
      <c r="E84" s="53">
        <v>8.8817841970012523E-16</v>
      </c>
      <c r="F84" s="25">
        <v>169000</v>
      </c>
    </row>
    <row r="85" spans="1:6">
      <c r="A85"/>
      <c r="B85" s="24">
        <v>20</v>
      </c>
      <c r="C85" s="24" t="s">
        <v>284</v>
      </c>
      <c r="D85" s="24" t="s">
        <v>233</v>
      </c>
      <c r="E85" s="53">
        <f>0.154-0.006-0.019+5.02-0.795-4.225-0.035+3.75+1.5+0.125-0.51-4.865+2.41-0.704+2.62-4.326-0.075+1.868-0.019+8.184-0.09-0.095-0.545</f>
        <v>9.3219999999999992</v>
      </c>
      <c r="F85" s="25">
        <v>159000</v>
      </c>
    </row>
    <row r="86" spans="1:6">
      <c r="A86"/>
      <c r="B86" s="24" t="s">
        <v>234</v>
      </c>
      <c r="C86" s="24" t="s">
        <v>284</v>
      </c>
      <c r="D86" s="24" t="s">
        <v>233</v>
      </c>
      <c r="E86" s="53">
        <f>2.585+2.455-0.37-0.37-4.3+1.765-1.105-0.28+5.16-1.085</f>
        <v>4.4550000000000001</v>
      </c>
      <c r="F86" s="25">
        <v>168500</v>
      </c>
    </row>
    <row r="87" spans="1:6">
      <c r="A87"/>
      <c r="B87" s="24">
        <v>20</v>
      </c>
      <c r="C87" s="24" t="s">
        <v>779</v>
      </c>
      <c r="D87" s="24" t="s">
        <v>233</v>
      </c>
      <c r="E87" s="53">
        <f>0.04+0.31+0.215+0.25-0.055-0.1+1.73+2.78-1.73-2.78+4.535-2.92+0.1+2.07+4.13+4.15+2.01+3.73+0.3-0.162-2.513-0.218-2.995-1.88-1.135-4.15-2.01-3.73+0.028+0.845-0.055-0.3+10.075-0.135-2.355-0.05-0.975</f>
        <v>7.0500000000000025</v>
      </c>
      <c r="F87" s="25">
        <v>173000</v>
      </c>
    </row>
    <row r="88" spans="1:6">
      <c r="A88"/>
      <c r="B88" s="26" t="s">
        <v>1124</v>
      </c>
      <c r="C88" s="24" t="s">
        <v>34</v>
      </c>
      <c r="D88" s="24" t="s">
        <v>233</v>
      </c>
      <c r="E88" s="53">
        <f>0.81</f>
        <v>0.81</v>
      </c>
      <c r="F88" s="25">
        <v>172500</v>
      </c>
    </row>
    <row r="89" spans="1:6">
      <c r="A89"/>
      <c r="B89" s="27" t="s">
        <v>928</v>
      </c>
      <c r="C89" s="24" t="s">
        <v>34</v>
      </c>
      <c r="D89" s="24" t="s">
        <v>233</v>
      </c>
      <c r="E89" s="53">
        <f>12.473-0.115-2.07-0.052-0.52-0.105-1.305-0.045+1.045+3.08+3.1+3.095+3.05+3.213-1.31-0.222-0.185-0.15-0.146-0.054-0.19-0.24-0.135-3.1-2.945-1.065-3.08-3.213-1.567-0.385-0.15-0.095-0.09-1+10.04-0.058-4.008-0.15+10.067-0.06-0.35-0.12-0.045-0.233-0.14-0.388-0.295-0.352-0.045-0.118-1.175-1.19-0.54-0.06-0.24+1.175-1.6-0.06-0.23-0.595-1.773-1.588-3.315-3.996-1.175-0.037-0.002-0.045-0.542-0.079-0.5-0.135-0.2-0.156-0.034-0.06+5.352-0.83-0.445-0.555-0.78-0.055-0.165-0.22-0.156-0.56</f>
        <v>2.7009999999999978</v>
      </c>
      <c r="F89" s="25">
        <v>172500</v>
      </c>
    </row>
    <row r="90" spans="1:6">
      <c r="A90"/>
      <c r="B90" s="24" t="s">
        <v>234</v>
      </c>
      <c r="C90" s="24" t="s">
        <v>34</v>
      </c>
      <c r="D90" s="24" t="s">
        <v>233</v>
      </c>
      <c r="E90" s="53">
        <f>5.417-0.49-0.06-0.19-4.677+4.05+1.108-0.905-1.108-0.095-0.21-1.35-0.28+0.21+1.308+1.002-0.05+2.752+0.045-0.095-1.325-1.303-0.548-0.146-0.29-0.018-0.186-1.5-0.332-0.045+0.74-0.095+0.66+0.61+3.56-0.055-0.88-0.285-0.22-0.35-0.114+5.14-0.1-0.26-0.05-0.26-0.16-0.056-0.135-0.166-0.09-0.495-0.165-0.112-0.17-0.52+1.422+3.194-0.32-0.103-0.065-0.051-0.145-0.185-0.045</f>
        <v>10.363000000000001</v>
      </c>
      <c r="F90" s="25">
        <v>180000</v>
      </c>
    </row>
    <row r="91" spans="1:6">
      <c r="A91"/>
      <c r="B91" s="24">
        <v>20</v>
      </c>
      <c r="C91" s="24" t="s">
        <v>35</v>
      </c>
      <c r="D91" s="24" t="s">
        <v>233</v>
      </c>
      <c r="E91" s="53">
        <f>15.279-0.956-7.81-0.015-3.955-0.035+12.522+11.091-0.063-0.343+0.018+8.338+7.119-0.059-0.395-0.595-1.835-0.678+0.406-1.85-0.675-4.062-0.07-7.953-0.625-2.966-2.816-2.696-1.961-1.356-0.185-3.302-3.514-0.135-0.395-0.056-0.213-0.056+19.946-0.343-0.93-0.061+28.406+8.004+11.261+2.897+2.9+2.305-0.53-3.906-0.066-0.995-0.108-0.469-0.49+7.87-0.2-0.057-0.261-0.066-0.265-0.066-0.53-1.585-0.13-0.067-2.938-0.13-2.06-0.53-0.071-13.945-0.331-0.592+0.015-1.055</f>
        <v>53.975000000000037</v>
      </c>
      <c r="F91" s="25">
        <v>157500</v>
      </c>
    </row>
    <row r="92" spans="1:6">
      <c r="A92"/>
      <c r="B92" s="24" t="s">
        <v>234</v>
      </c>
      <c r="C92" s="24" t="s">
        <v>35</v>
      </c>
      <c r="D92" s="24" t="s">
        <v>233</v>
      </c>
      <c r="E92" s="53">
        <f>5.18-2.53-0.13-0.7-0.132-0.066-0.115-0.975-0.065+0.033+3.75+1.34-0.052-0.17-0.06-0.055-3.75-0.38-0.49+2.664+2.176-0.25-0.115+0.01-0.055-0.22-0.208-1.04+0.208-0.11-1.294-2.176-0.223+0.24+0.42+0.21-0.06+4.13-1.7-2.448-0.18-0.42-0.21+0.018+2.57+2.568-1.088-0.995-2.568-0.11-0.23-0.118+1.43-0.06-0.276+0.031-0.498+3.51-0.056+0.472-1.998+4.51-0.22-0.055-0.11-0.06-0.205+0.008+0.602+2.2+3.568+1.04-0.61-0.06-0.058-0.058-0.055-0.22-0.112-0.49-0.106-0.06-0.11-0.712-0.17-0.11-0.17-0.054-0.49-0.06-1.795-0.058-0.112-0.062-1.98-0.167-0.052-0.056-0.28-0.055-0.055-1.208-1.588-0.029-0.11-0.026-0.299-0.496-0.056-0.858-0.189+1.54+3.548-0.056-0.49-1.54-0.165-0.054-0.11-0.72-0.33-0.06-0.055+1.59+3.65-0.115</f>
        <v>7.2590000000000021</v>
      </c>
      <c r="F92" s="25">
        <v>162500</v>
      </c>
    </row>
    <row r="93" spans="1:6">
      <c r="A93"/>
      <c r="B93" s="24">
        <v>20</v>
      </c>
      <c r="C93" s="24" t="s">
        <v>151</v>
      </c>
      <c r="D93" s="24" t="s">
        <v>233</v>
      </c>
      <c r="E93" s="53">
        <f>26.899-3.215-0.22-0.235-0.84-0.41-2.724+61.28-0.579-0.24-0.16-0.16-0.163-0.002-0.087-0.337-0.906-0.416-0.085-0.085-0.16+0.128-3.57-0.085-0.163-0.002-6.049-0.578-0.085-0.085-3.082-1.242-0.165-0.25-0.085-0.165-0.25-0.495-20.147-17.987-0.163-0.165-20.095+11.815-8.85-0.245-2.72-0.998+8.991-0.417-0.25-0.085-2.085+57.158+4.955-20.094-0.415-0.412-1.489-8.818+20.013-0.33-1.99-11.983-0.08-0.251-0.989-9.277-0.082-0.003-16.804-2.296-13.785-0.154+48.131-0.4-23.97+0.061-3.109+0.163-0.329-0.58-0.085-0.58+16.18+2.699+3.986-1.06-4.098-0.816-0.053-0.022-4.742+0.009-0.409-0.83-7.523-1.495+19.547-16.18-1.204-2.647-0.5-0.085-0.754-0.246-3.768-0.242-0.515-0.515-1.4</f>
        <v>13.024000000000081</v>
      </c>
      <c r="F93" s="25">
        <v>157500</v>
      </c>
    </row>
    <row r="94" spans="1:6">
      <c r="A94"/>
      <c r="B94" s="24" t="s">
        <v>234</v>
      </c>
      <c r="C94" s="24" t="s">
        <v>151</v>
      </c>
      <c r="D94" s="24" t="s">
        <v>233</v>
      </c>
      <c r="E94" s="53">
        <f>22.665-0.365-0.084-0.225+0.026-1.276-0.15-0.45-0.236-0.08-0.45-4.076-0.394-2.49-1.642-0.63-0.08-0.515-1.03-3.039-2.903-1.16-1.022-0.026-0.057+0.036+13.573-1.973-0.15-0.61-0.075-0.075+8.2-0.23-2.5-0.075-0.08-0.305-0.08-0.155-2.05-0.685-0.225-0.305-0.075-0.075-0.08-0.305-0.076-0.073-0.457-0.76-0.915-0.38-2.512-1.895-2.048-0.155-1.6+0.026-0.142-0.013-0.763-0.052-0.185-0.11+0.098+21.529-15.978-0.225-2.776-1.349-0.6+10.188-0.525-0.076-0.9-1.425-0.225+11.087-0.222-0.375-0.6-2.78-1.868-0.6-0.15-0.225-0.08-0.075-0.22-0.218-0.007-0.225-0.15-1.05-2.624-2.48-0.075-0.08-3.672-0.075-0.075</f>
        <v>0.79900000000000126</v>
      </c>
      <c r="F94" s="25">
        <v>167500</v>
      </c>
    </row>
    <row r="95" spans="1:6">
      <c r="A95"/>
      <c r="B95" s="24">
        <v>20</v>
      </c>
      <c r="C95" s="24" t="s">
        <v>120</v>
      </c>
      <c r="D95" s="24" t="s">
        <v>233</v>
      </c>
      <c r="E95" s="53">
        <f>1.125-0.09-0.265-0.09-0.435-0.245+0.245-0.255+0.01</f>
        <v>-6.4184768611141862E-17</v>
      </c>
      <c r="F95" s="25">
        <v>163000</v>
      </c>
    </row>
    <row r="96" spans="1:6">
      <c r="A96"/>
      <c r="B96" s="24">
        <v>20</v>
      </c>
      <c r="C96" s="24" t="s">
        <v>285</v>
      </c>
      <c r="D96" s="24" t="s">
        <v>233</v>
      </c>
      <c r="E96" s="53">
        <f>130.904-3.955-12.059-20.034-0.976-19.923-19.698+0.095-9.11-5.823-4.777+11.263+11.239+16-0.198-0.485-0.29-0.295-0.972-0.488-0.1-2.047-12.231+0.007-1.767-0.193-0.105-1.07-5.187-0.244+4.793-0.39+67.933+10.081-0.3+5.678-3.223-0.095-0.202-1.462-0.293-1.178-1.86-0.097+28.839+2.308-14.467-20.044-2.229-0.678-59.402-0.685-0.095-0.775-1.571-0.195-30.021+0.011-4.275-0.77-0.075-0.663-0.231-0.403-0.095-0.49-0.195-1.815-0.385-0.77+91.864+30.801+41.416-0.676-0.383-2.771-4.143+0.77-0.87-0.97-0.096-0.19-0.095-0.485-2.804-8.52-0.097-0.675-0.385-0.195-0.1-0.1-0.19-0.195-0.966-0.1-0.097+41.976-0.87-4.271-17.068-4.478-0.195-2.06-0.67-0.29-0.58-12.05-2.02-0.096-1.375-0.1+1.157-3.555-0.095-0.583-1.865-2.014-3.735-0.97-1.45-2.417+20.512-0.179-0.016+0.015-0.4-0.2-4.32-0.096-0.2-0.092-0.096-1.545-0.475-0.097-0.1-3.59-3.544-12.803-20.04-19.984-0.1-1.45-19.949+0.029-0.195-0.29-1.08-0.875-35.156-5.881-0.1+20.721+39.039+2.143-0.105+20.97-0.685-0.097-0.2-0.195-0.097+11.585-9.395-0.775-0.1-2.02</f>
        <v>106.26099999999994</v>
      </c>
      <c r="F96" s="25">
        <v>157500</v>
      </c>
    </row>
    <row r="97" spans="1:6">
      <c r="A97"/>
      <c r="B97" s="24" t="s">
        <v>234</v>
      </c>
      <c r="C97" s="24" t="s">
        <v>285</v>
      </c>
      <c r="D97" s="24" t="s">
        <v>233</v>
      </c>
      <c r="E97" s="53">
        <f>6.917-0.096-0.071-0.023-0.095+4.105+4.101+4.096+3.633+4.11+4.113+4.108+4.096+3.745+4.105-0.086+0.019-2.215-2.019-0.011-0.1-0.092+0.092-0.29-0.1-1.025-1.21-0.465-0.37-0.1-0.258-0.088-0.1-0.84-3-1.89-0.84-0.185-0.095-3.02-0.095-2.416-1.68-0.465-0.1-0.19-0.75-0.095-2.98-0.77+0.041-0.1-0.47-1.21-1.3-0.195-0.47-0.095-0.1-0.94-1.02-0.102-0.088-0.475-0.28-0.195-0.185-4.115-1.205-3.745-0.01-0.1-0.1-0.187-0.1-0.28-1.78-0.095+20.863-0.485-0.195-0.1-0.1-0.195-0.1-0.485-0.095</f>
        <v>19.221999999999984</v>
      </c>
      <c r="F97" s="25">
        <v>167500</v>
      </c>
    </row>
    <row r="98" spans="1:6">
      <c r="A98"/>
      <c r="B98" s="24">
        <v>20</v>
      </c>
      <c r="C98" s="24" t="s">
        <v>286</v>
      </c>
      <c r="D98" s="24" t="s">
        <v>233</v>
      </c>
      <c r="E98" s="53">
        <f>2.414+0.53+4.605+1.6-0.264-0.055+1.71-0.44-0.54-0.2-4.985-0.09+4.7-0.18-0.895-0.085-4.013+0.028-0.685-0.09-0.205-0.12-0.145-1-0.72-0.035-0.315-0.525+3.88+1.43-0.08-0.235-0.16-0.15-0.3-0.305-0.3-0.48-1.43-0.075-0.235-0.085-0.08-0.56+4.98-0.315-0.165-0.08-4.815-0.14-0.335+0.035+2.029+0.198+4.681+3.666+4.693+4.696-0.115-0.33-0.645-0.545-0.75-0.325-0.645-0.11-0.215-0.215-0.965-2.221-3.666-4.238-0.11-0.745-2.029-0.325-0.42-0.046-0.198-0.008-0.498+3.466+4.02+4.76+3.89+4.758-0.11-0.11+1.34-0.64-1.085-0.09-0.09-0.44-0.27-0.11-0.095-0.11-1.09-0.33-1.195-0.55-0.11-0.33-0.11-0.071-0.081-0.173-0.11-0.1-0.11-6.703-0.33-0.11-0.22-1.09-0.33-0.22+21.306-0.545-2.025-0.106-0.105-0.215</f>
        <v>24.63000000000001</v>
      </c>
      <c r="F98" s="25">
        <v>146000</v>
      </c>
    </row>
    <row r="99" spans="1:6">
      <c r="A99"/>
      <c r="B99" s="24">
        <v>20</v>
      </c>
      <c r="C99" s="24" t="s">
        <v>287</v>
      </c>
      <c r="D99" s="24" t="s">
        <v>233</v>
      </c>
      <c r="E99" s="53">
        <f>6.596-0.705-0.36-0.03-0.59-0.137-0.207-0.006-0.825-0.47-0.227-1.853-0.09-0.315+44.418-1.35-3.93-0.37-1.35-0.09+0.09-0.245-0.125-1.102-4.548-4.576-0.245-0.076-0.98-0.198+0.027-0.37-1.105-0.995-0.474-0.25-0.875-0.125-1.235-0.5-0.5-0.24-0.99-1.345-2.01-1.24-0.11-0.385-0.745-0.25-0.049-0.13-0.24-0.071+15.653-0.125-0.613-0.125-0.125-3.088-0.125-0.484-0.125+5.174-0.126-0.246-0.125-0.985-0.122-1.105-0.255-0.986-0.122-1.897-0.13-1.105-0.125-0.125-0.875-0.253-0.49-0.126-0.125-0.995-0.125-0.372-0.25-1.12-0.126-0.25-0.985-1.11-0.249-0.004-0.37-0.25-0.126-0.123-0.12-0.125-0.125-1.105-2.562-1.204-0.011-0.12-0.12-0.235-0.62+0.027-1.105+9.704-1.1-0.985+32.79-0.122-0.121-0.37-0.494-1.108-0.125-0.125-0.121-0.245-0.12-0.978-0.49-2.215-0.12-0.246-0.249-2.327-0.483-0.125-0.365-0.125-0.362-0.125-0.125-0.125-0.014-0.231-0.125-0.37-0.125-0.745-1.201-0.49-0.125-0.245</f>
        <v>30.038000000000004</v>
      </c>
      <c r="F99" s="25">
        <v>155000</v>
      </c>
    </row>
    <row r="100" spans="1:6">
      <c r="A100"/>
      <c r="B100" s="24">
        <v>20</v>
      </c>
      <c r="C100" s="24" t="s">
        <v>288</v>
      </c>
      <c r="D100" s="24" t="s">
        <v>233</v>
      </c>
      <c r="E100" s="53">
        <f>1.796-0.052-0.704-0.245-0.513-0.135-0.071+4.621+4.604+4.587+4.606+4.049-4.621-0.555-0.55-0.415-0.835-0.285-0.14-0.415-1.525-0.415-0.145-0.14-3.062-0.423-1.54-0.698-0.98-0.14-0.965-0.01-0.014-4.59-0.004+17.408+3.491-0.13-0.757-0.26-1.04-0.52-2.2-4.262-0.52-0.25-0.01-0.135-0.26-0.13-0.39-1.68+0.263-0.39-0.13-0.13-1.82-1.53-0.03-0.13+19.712-0.26-0.134-1.56-0.13+0.001-0.245-0.37-0.26-0.615-0.071-0.059-0.125-0.52-0.094-2.482-2.474-2.469-0.375-2.452-0.721-0.879-1.04-0.365-0.985-0.231-0.748-0.86-1.226-1.11-0.245+20.472-0.615-0.5-0.007-0.113-0.385-0.255-0.505-0.13-0.13-5.044-0.874-0.255-1.52-0.26+20.807-0.25-1.55-1.541-0.91-0.13-2.583-1.047-6.493-0.645-0.253-0.52-0.65-0.26-0.122-0.52-0.13+0.059-0.13-1.024-0.011-0.13-0.385-0.13-1.937-2.076-0.135-0.26-0.115-0.015-0.13-0.26-0.125-0.775</f>
        <v>6.6449999999999978</v>
      </c>
      <c r="F100" s="25">
        <v>155000</v>
      </c>
    </row>
    <row r="101" spans="1:6">
      <c r="A101"/>
      <c r="B101" s="24">
        <v>20</v>
      </c>
      <c r="C101" s="24" t="s">
        <v>289</v>
      </c>
      <c r="D101" s="24" t="s">
        <v>233</v>
      </c>
      <c r="E101" s="53">
        <f>11.143-0.165-0.15-3.98-2.155-1.055-1.07-0.162-1.54-0.31-0.145-0.16+20.769-1.924-0.15-0.005-0.164-0.15+0.054-0.322+21.421-0.445-0.66-0.17-1.5-0.15-0.442-0.45-0.5-0.6-0.165-1.166-0.162-0.806-0.15-0.505-0.6-0.3-0.3-0.3-0.595-0.168-2.078-1.49-0.165-0.166-0.3-0.66-0.15-0.331-0.138-0.012-0.279-0.171-0.145-1.033-0.595-0.163-0.442-0.003-5.027-0.3-0.3-1.495-0.171</f>
        <v>14.032000000000007</v>
      </c>
      <c r="F101" s="25">
        <v>152500</v>
      </c>
    </row>
    <row r="102" spans="1:6">
      <c r="A102" s="66"/>
      <c r="B102" s="24">
        <v>20</v>
      </c>
      <c r="C102" s="24" t="s">
        <v>290</v>
      </c>
      <c r="D102" s="24" t="s">
        <v>233</v>
      </c>
      <c r="E102" s="53">
        <f>4.9-0.475-0.48-2.06-0.794-0.16-0.16-0.158-0.64+0.027+4.81-0.155-0.425-0.28-0.155-0.43-0.29-0.28-0.14-0.28-0.145-0.275-0.85-0.14-0.71-0.145-0.12+0.01+3.205+4.32+4.835-0.535-0.685-0.42-0.135-0.395-0.13-0.265-0.4-0.27-0.405-1.065-0.393-3.17-0.11-0.025-0.9-0.27-0.14-0.14-0.815-0.14+0.083-0.14-1.185+4.885+2.515-4.885-1.605-0.525-0.49-0.31+0.105+4.895+3.595-1.09-0.32-0.164-0.163-0.156-0.316-0.322-0.794-0.305-0.958-1.256-0.64+2.545-0.305+2.555-1.06-0.155-0.295-0.57-0.57-0.48-0.14-0.163-1.275-0.474-0.6-0.158-0.475-0.144-0.016-0.162+0.066-0.15+0.02+4.885-0.425-0.28+3.62+3.67+2.7-0.126-0.565+15.926-3.615-0.37-0.008-0.12-0.855-0.592-0.74-0.6-0.37-1.1-0.304-0.502-0.12-0.298-0.123-0.196-0.24-0.202-0.49-1.096-0.115-0.49-0.495-0.49-0.12-0.505-0.805-0.995-0.305-0.362-0.36-2.409-9.671+0.035+15.824-0.125-1.85-0.8-0.13-0.117-0.008+0.003-0.4-0.395-0.135-0.4-0.26-0.66-0.135-0.135-0.135-0.4-0.4-0.53-0.135-0.53-0.535-1.065-0.135</f>
        <v>6.7890000000000015</v>
      </c>
      <c r="F102" s="25">
        <v>152500</v>
      </c>
    </row>
    <row r="103" spans="1:6">
      <c r="A103"/>
      <c r="B103" s="24">
        <v>20</v>
      </c>
      <c r="C103" s="24" t="s">
        <v>1125</v>
      </c>
      <c r="D103" s="24" t="s">
        <v>233</v>
      </c>
      <c r="E103" s="53">
        <f>5.106</f>
        <v>5.1059999999999999</v>
      </c>
      <c r="F103" s="25">
        <v>152500</v>
      </c>
    </row>
    <row r="104" spans="1:6">
      <c r="A104"/>
      <c r="B104" s="24">
        <v>20</v>
      </c>
      <c r="C104" s="24" t="s">
        <v>291</v>
      </c>
      <c r="D104" s="24" t="s">
        <v>233</v>
      </c>
      <c r="E104" s="53">
        <f>14.672-0.69-0.07-0.145-0.41-0.085-1.009-0.065-0.51-0.066-0.088-0.44-0.01-0.075+20.743-0.222-0.086-0.22-0.34-0.59-0.07-0.263-0.027-0.215-0.075-0.15-0.07-0.042-0.016-0.655-0.29-0.58-0.2-0.22-0.22-0.075-0.73-0.075-0.075-0.063-0.012-0.416-2.266+2.682</f>
        <v>26.17100000000001</v>
      </c>
      <c r="F104" s="25">
        <v>160000</v>
      </c>
    </row>
    <row r="105" spans="1:6">
      <c r="A105"/>
      <c r="B105" s="24">
        <v>20</v>
      </c>
      <c r="C105" s="24" t="s">
        <v>292</v>
      </c>
      <c r="D105" s="24" t="s">
        <v>233</v>
      </c>
      <c r="E105" s="53">
        <f>7.335+3.31+3.03+3.185-0.085-0.065-0.08-0.051-0.08-0.165-0.085-0.38-0.155-0.75-0.082-0.08-0.96-0.22-0.215-0.375-0.22-0.075-0.15+4.66-3.595-0.08-1.065-3.31-3.03-2.57-0.67-0.014-0.633-1.548-0.08-0.455-0.075+3.49+3.33+3.23-1.425-2.022-1.05-0.366-0.156+4.24+3.91+4.23-0.244-0.158-0.082-0.08-0.082-3.23-0.59-1.025-0.175-0.765-0.255-0.09-0.43+4.965+0.16+0.16+4.97-1.45-0.675-0.34-0.322-0.084-0.055-0.015-0.17-0.43-0.392-0.165-3.955-0.085-0.085-0.255-0.244-4.334-3.483-0.084-0.16-0.33-0.16-0.48+1.79-0.28-0.085+20.862-0.306-7.295-0.08-0.094-0.086-0.26-0.1-0.718-0.086-0.34-0.316-0.238-0.014+0.013-0.686-0.11-0.304-0.102-0.036-0.206-0.092-0.008-0.508-1.016-0.085-0.61-4.665-0.105-2.025+22.452-15.27-2.086-0.103+19.944-0.073-0.105-0.105-0.41-1.145-0.716-0.105-0.102-0.105-0.42-4.439-4.449</f>
        <v>17.400999999999989</v>
      </c>
      <c r="F105" s="25">
        <v>160000</v>
      </c>
    </row>
    <row r="106" spans="1:6">
      <c r="A106"/>
      <c r="B106" s="24">
        <v>20</v>
      </c>
      <c r="C106" s="24" t="s">
        <v>293</v>
      </c>
      <c r="D106" s="24" t="s">
        <v>233</v>
      </c>
      <c r="E106" s="53">
        <f>3.58+1.1-0.68-0.105-0.315-0.1-0.09-0.545-0.2-1.43-0.11-0.535-0.105-0.11+4.95+5+2.61+2.6-0.315-0.11-0.418-1.086-0.112-0.1-0.322-0.11-0.215-0.526-0.11+0.07-0.22-1.99-0.11-0.11-0.11-0.215+0.11-2.954-0.216-0.32-0.056-2.61-2.6-0.16-0.112-0.22+2.94+0.89-0.185+1-0.37-0.335+0.067-0.275-0.272-0.1-0.368-0.64-0.09+0.09-0.375-0.1-0.266-0.182+0.016-0.1-0.095-0.092-0.086-0.75-0.275+21.04+4.28+0.456+0.263+4.285+4.265+2.886+4.264-0.355-0.115-0.12-0.115-0.115-0.35-0.115-0.12-2.44-0.47-0.235-0.115-0.12-1.501-4.264-0.235-0.12-0.12-0.12-0.12-0.58-0.21-0.02-0.23-0.58-0.12-0.12-2.105-0.7-1.515-0.12-0.442-0.13-0.12-1.1-0.055-0.35-0.35-0.285-0.76-0.263-0.12-0.12-0.12-0.58-0.12-0.024-0.326-0.12-0.35-0.12-1.28-16.019-0.93+0.004-0.315-0.19+0.096+22.225-1.4-0.12-0.115-0.349-1.16-0.115-0.93-0.115-0.115-17.806+20.832+20.902-20.832-20.902+77.129-77.129+67.242+47.098-18.936-20.723-20.41</f>
        <v>54.271000000000029</v>
      </c>
      <c r="F106" s="25">
        <v>167000</v>
      </c>
    </row>
    <row r="107" spans="1:6">
      <c r="A107"/>
      <c r="B107" s="24">
        <v>20</v>
      </c>
      <c r="C107" s="24" t="s">
        <v>1055</v>
      </c>
      <c r="D107" s="24" t="s">
        <v>233</v>
      </c>
      <c r="E107" s="53">
        <f>16.012-0.515-0.255-0.515-0.13-1.025-0.385-3.719-4.739-4.74+0.011+20.943-1.18-0.13-0.13-0.92</f>
        <v>18.582999999999998</v>
      </c>
      <c r="F107" s="25">
        <v>167000</v>
      </c>
    </row>
    <row r="108" spans="1:6">
      <c r="A108"/>
      <c r="B108" s="24">
        <v>20</v>
      </c>
      <c r="C108" s="24" t="s">
        <v>780</v>
      </c>
      <c r="D108" s="24" t="s">
        <v>233</v>
      </c>
      <c r="E108" s="53">
        <f>23.856-0.29-0.145-1.625-0.324-0.29-0.58-1.616-0.29-0.645-1.125-0.29-0.32-0.326-0.16-0.969-0.16-0.162-0.29-0.65-0.16-0.239-0.103-0.238+0.168-0.965-0.324-7.092-0.321-0.162-4.123+4.084+17.562-0.455-0.455-1.51-0.455-0.305-0.155-0.15-0.15-0.449-0.305-1.815-0.605-1.065-0.15-0.305-0.296-0.145-0.16-0.605-0.305-3.025-0.306-0.605+2.3-0.61-0.335-0.155-0.15-0.6</f>
        <v>8.3600000000000119</v>
      </c>
      <c r="F108" s="25">
        <v>155500</v>
      </c>
    </row>
    <row r="109" spans="1:6">
      <c r="A109"/>
      <c r="B109" s="24">
        <v>20</v>
      </c>
      <c r="C109" s="24" t="s">
        <v>294</v>
      </c>
      <c r="D109" s="24" t="s">
        <v>233</v>
      </c>
      <c r="E109" s="53">
        <f>26.259-0.92-0.73-0.161-0.905-0.18-3.095-3.073-1.084-0.531-4.96-0.92-1.275-1.657-0.013-0.335-3.07-0.19-0.36-0.185-0.36-0.479+21.693-1.265-0.544+15.092-0.66-3.456-0.365-4.349-1.036-1.45-4.347-4.006-0.345-0.268-0.339-0.026-3.98-0.365-0.54-9.69+0.046-0.725-0.705-0.179+0.033+20.849-2.935-2.385-0.185-3.117-0.735-3.48-2.02-0.309-1.655-2.035-0.727-1.266+19.58</f>
        <v>19.579999999999991</v>
      </c>
      <c r="F109" s="25">
        <v>155500</v>
      </c>
    </row>
    <row r="110" spans="1:6">
      <c r="A110"/>
      <c r="B110" s="24">
        <v>20</v>
      </c>
      <c r="C110" s="24" t="s">
        <v>781</v>
      </c>
      <c r="D110" s="24" t="s">
        <v>233</v>
      </c>
      <c r="E110" s="53">
        <f>5.39-0.17-0.525-1.04-2.09-0.175-1.045-0.17-0.175+4.695-0.172-1.51-0.172-2.02-0.68-0.17+0.029+4.68-0.442-0.294-0.15-0.148-0.872-2.054-0.73+0.01+5-0.165-2.505-1.08-1.265+0.015+3.34+4.82+3.1-0.322-0.642-0.46-0.16-0.325-0.166+1.67-2.12-0.17-0.6-1.335-0.17+0.005-0.332-1.254-0.158-0.158-0.615-1.13-0.324-0.16-0.322-0.966-0.364-0.564-0.164+0.046+2.45+2.61-0.975-0.485-0.49-0.99-0.485+1.43+4.02+1.97-0.285-0.655-0.15-1.97-0.715-2.285-0.435-0.43-0.49-0.47+3.49+3.33-0.43+0.14-0.44-1.02-0.435-0.59-0.14-0.88-0.575-0.01-0.435-0.73-0.15-0.13-0.015-1.275-0.615-0.29+0.05+4.31+1.33+4.66-0.302-1.602-1.584-0.775-0.926-0.047-0.111-1.775-2.025-0.302-0.293-0.005-0.598+0.045+4.965+4.96+4.965+4.971+2.066+0.349-0.349-0.21-0.83-0.615-1.04-0.411-1.66-0.62-2.89-1.04-1.651-2.89-0.41-0.415-0.625-0.205+20.836-1.056+0.158-0.526-0.35-0.19-0.009-0.216-0.702-0.158-1.029-0.831-0.415-5.077-0.528-1.03-0.354-0.355-0.355-0.21-0.36-0.352-0.355-0.7-0.702-0.526-3.148-0.172-0.21-0.352-0.02-0.176-0.355</f>
        <v>6.6099999999999994</v>
      </c>
      <c r="F110" s="25">
        <v>155500</v>
      </c>
    </row>
    <row r="111" spans="1:6">
      <c r="A111"/>
      <c r="B111" s="24">
        <v>20</v>
      </c>
      <c r="C111" s="24" t="s">
        <v>295</v>
      </c>
      <c r="D111" s="24" t="s">
        <v>233</v>
      </c>
      <c r="E111" s="53">
        <f>15.76-0.23-15.465-0.055-0.01+4.936+1.2+2.95+2.3+3.576+16.982-0.115-0.115-0.114-0.114-0.504-0.288-0.06-0.66-0.056-0.992-1.918-3.084-0.45-0.118-0.837-0.058-0.21-0.168-0.06-0.56-0.06-0.06-0.06-0.168-0.058-16.772-2.3-0.696-0.068-0.114-0.23-0.118-0.06-0.04-0.074-0.17-0.172-0.114-0.093-0.023-0.056+0.043-0.062+0.062+4.99-0.116+0.116-0.2-0.148-0.058-0.245-0.976-0.102-3.261+0.975-0.975+10.162-0.06</f>
        <v>10.102000000000011</v>
      </c>
      <c r="F111" s="25">
        <v>167000</v>
      </c>
    </row>
    <row r="112" spans="1:6">
      <c r="A112"/>
      <c r="B112" s="24">
        <v>20</v>
      </c>
      <c r="C112" s="24" t="s">
        <v>296</v>
      </c>
      <c r="D112" s="24" t="s">
        <v>233</v>
      </c>
      <c r="E112" s="53">
        <f>10.102-1.7-0.176-1.005-0.055-0.15-0.038-0.05-0.05-0.045-0.05-0.1-0.075-0.05-0.245-0.285-0.1-0.18-0.135-0.095-0.095-0.36-0.06-0.925-0.045-1.71-0.2-0.045-0.06-0.38-0.645-0.45-0.14-0.14+0.28-0.045-0.22-0.074-0.075+0.014-0.135-0.008+0.725-0.725+0.65+0.2-0.362-0.225+2.41+2.78+2.125-0.063-0.007-0.26-0.15-0.498-0.125-0.596-0.2-0.2-0.145-0.05-0.1+3.261-0.1-0.31-0.5+0.5-0.44-0.05-0.15-0.546-0.055-0.11-0.2-0.15-0.1-0.195+8.01-1.015-0.75-0.15-6.67-0.005-0.3-0.05-0.755-0.05-0.05-0.646-0.03-0.02-0.055-0.15-0.254-0.05-0.05-0.01-0.105+2.09</f>
        <v>4.9740000000000038</v>
      </c>
      <c r="F112" s="25">
        <v>167000</v>
      </c>
    </row>
    <row r="113" spans="1:6">
      <c r="A113"/>
      <c r="B113" s="24">
        <v>20</v>
      </c>
      <c r="C113" s="24" t="s">
        <v>297</v>
      </c>
      <c r="D113" s="24" t="s">
        <v>233</v>
      </c>
      <c r="E113" s="53">
        <f>9.245-0.06+0.017-0.06-0.67-0.245-0.065-0.065-0.06-0.122-0.061+3.53+2.788+3.442-0.25-0.06-1.195-0.205-0.07-0.72-0.075-0.07-0.285-0.07-2.788-1.437-0.275-1.005-0.06-0.43-0.075-0.98-0.07-0.245-0.98-0.28-0.056-0.295-0.315-0.07-0.18-2.015-0.48-0.28-0.07-0.145-0.49-0.135-0.023-0.047+0.04-0.235-0.48-0.37-0.3-0.043+4.94-0.074-0.076-0.074-0.224-0.816-0.522-0.742-0.228-0.512-0.596-0.148-0.225+0.08-0.605-0.08-0.152+0.054+1.01+3.08-0.35-0.98+6.6-0.09+2.765+3.32-0.795-0.085-0.53-0.09-0.395-0.6-0.085-0.845-0.15-0.79-0.585-0.09-0.085-0.945-1.92-0.16-0.02+3.03+3.28-1.06-0.25-0.75-0.18-0.26-0.082-0.25-0.74-0.082-0.082-0.415-0.245-0.74-0.415-0.5-0.085-0.51-0.06-0.191-0.08-0.256-0.325-0.073-0.017-0.004-0.51-0.128-0.13-0.067-0.511-0.97-0.255-0.19-0.578-0.13-0.12+0.045-0.58</f>
        <v>1.718999999999995</v>
      </c>
      <c r="F113" s="25">
        <v>164000</v>
      </c>
    </row>
    <row r="114" spans="1:6">
      <c r="A114"/>
      <c r="B114" s="24">
        <v>20</v>
      </c>
      <c r="C114" s="24" t="s">
        <v>152</v>
      </c>
      <c r="D114" s="24" t="s">
        <v>233</v>
      </c>
      <c r="E114" s="53">
        <f>11.875-2.4-0.16-0.16-0.56-0.245-1.445-2.585-2.98-0.8-0.08-0.23-0.06-0.085+4.87+4.89-0.09-0.995-0.19-0.27-0.9-0.835-0.185-0.09-0.555-0.085-0.095-0.18-0.46-0.76-4.215+0.06+4.825-0.27-0.96-0.1-0.095-0.27-0.085-0.095-0.09-0.086-0.6-0.255-0.6-0.26+3.53+3.53-0.8-0.094-0.086-0.255-0.356-0.265-0.266-0.095-0.714-0.182-0.178+18.376+1.875+0.917-0.092-0.974-0.105-0.094-0.444-0.26-4.61-0.917-0.09-0.09-0.2-0.105-0.094-0.092-0.42-0.092-0.535-3.285-0.21-0.415-0.532-0.512-0.174-0.36-0.182-0.18-0.53-2.45-0.034-0.058-0.446+0.093-0.105-0.525-1.045-0.535-0.21-1.092-0.1-0.1-0.525-0.105-0.1+0.575+1.484+17.972-0.51-0.1-1.445-0.1-0.1-0.205-0.09-0.096-0.501-0.011-0.305-0.076-0.025-0.104-0.205-0.205-0.815-0.305-0.305-0.061-0.044-0.305-0.2+20.833+0.631-0.71-0.085-0.015-0.1-0.5-0.315-0.316-0.105</f>
        <v>36.301000000000002</v>
      </c>
      <c r="F114" s="25">
        <v>160500</v>
      </c>
    </row>
    <row r="115" spans="1:6">
      <c r="A115"/>
      <c r="B115" s="24">
        <v>20</v>
      </c>
      <c r="C115" s="24" t="s">
        <v>298</v>
      </c>
      <c r="D115" s="24" t="s">
        <v>233</v>
      </c>
      <c r="E115" s="53">
        <f>4.78-0.305-0.105-0.61-0.51-0.102-0.102-0.102-0.11-0.105-0.205-0.31-0.11-0.2-1.005-0.22+4.96+0.23-0.11-0.215-1.02-0.102-0.2-0.105+0.053-0.23-2.036-0.564-0.115-0.34-0.226-0.67+0.011+4.6-0.105-0.74-0.115-0.315-0.525-0.105-2.305-0.415+0.025+4.6-0.92-0.12-0.35-0.11-0.345-0.115-0.465-0.585-1.265-0.345+0.02+2.555+2.665-0.115-0.35-0.12-0.47-0.115-0.585-0.12-0.118-0.24-1.88-0.12-0.47-0.315-0.115-0.15+0.063+4.338+4.354+3.814+4.342+4.35-0.135-0.4-0.135-0.135-0.135-1.98-0.4-0.135-0.395-0.265-0.4-0.795-0.135-0.4-1.06-0.135-0.53-0.66-0.135-0.13-1.055-0.53-0.66-0.38-0.02-0.265-0.4-0.135-1.964-0.016-0.27-0.53-0.265-0.66-1.055-0.196-0.069-0.419-0.111-0.26-0.135-0.27-0.8-0.53-0.8-0.53+10.056-0.04-1.173-0.12-0.116-0.122-1.055-0.47-1.525-0.12-0.59-0.352-0.235+20.471-0.935-0.121+0.701-0.128-0.285-0.145-0.145-1.985-1.14-0.71-0.122-0.145-1.7-0.145-0.565-0.145-0.025-0.715-0.313-0.133-0.007-1.135-0.145-0.144-0.001-0.145-0.145-0.145-0.71-0.43-0.425</f>
        <v>12.654000000000007</v>
      </c>
      <c r="F115" s="25">
        <v>156000</v>
      </c>
    </row>
    <row r="116" spans="1:6">
      <c r="A116"/>
      <c r="B116" s="24" t="s">
        <v>234</v>
      </c>
      <c r="C116" s="24" t="s">
        <v>298</v>
      </c>
      <c r="D116" s="24" t="s">
        <v>233</v>
      </c>
      <c r="E116" s="53">
        <f>2.52+2.52-0.215-0.425-0.11-0.105-0.11-0.105-0.215-0.105-1.265-0.105-0.11-0.85-0.425-0.315-0.105-0.11-0.17-0.145-0.11+0.06+4.53+0.73-0.105-0.415-0.21-0.21-0.315-0.325-0.205-0.205-0.105-0.31-0.105+2.435+2.435-0.205-0.105-0.11-0.51-0.105-0.11-0.105-0.105-0.215-1.18-0.81-2.435-1.525+5.385-0.1</f>
        <v>5.3849999999999971</v>
      </c>
      <c r="F116" s="25">
        <v>171000</v>
      </c>
    </row>
    <row r="117" spans="1:6">
      <c r="A117"/>
      <c r="B117" s="24">
        <v>20</v>
      </c>
      <c r="C117" s="24" t="s">
        <v>299</v>
      </c>
      <c r="D117" s="24" t="s">
        <v>233</v>
      </c>
      <c r="E117" s="53">
        <f>3.82-0.795-0.13-0.53-0.13-0.125-0.525+2.485+2.545-0.135-0.53-0.13-0.13-0.39-0.14-0.4-1.06-0.25-0.39-2.485-0.65+0.075+2.47+4.65+3.42+4.035-4.65-0.275-3.76-0.035-2.435-0.025-3.29-0.105+4.27-0.27-0.135-0.136-0.39-0.135-1.16-0.135-0.8-0.13-0.52-0.125+1.945-0.265+22.26-10.155-0.515-0.06-0.685-1.885-0.175-10.73-0.132+0.063+4.638+4.654+1.674+4.646+0.314+4.658-4.638-0.157-0.157-1.035-0.34-0.17-0.175-0.175-0.695-0.7-0.86-0.858-0.17-0.17-1.045-0.34-2.014-0.175-0.82-4.658-0.336-0.129-0.767+20.652-0.176-0.862-0.346-0.518-0.17-0.172-0.856-0.518-0.866-2.41-0.348-0.172-2.066-0.518-0.172-0.35-1.03-1.547-7.555+20.548-1.56-0.345-0.53-1.56-0.175-0.175-1.56-0.175-0.7-0.35-0.175+19.147+1.032-0.341-0.009-0.35-0.35-0.323-0.012-0.175-0.175-0.132-0.043-0.112-0.063-0.345-0.175-2.065-0.16-0.015-0.87-1.04-0.17</f>
        <v>26.496999999999989</v>
      </c>
      <c r="F117" s="25">
        <v>156000</v>
      </c>
    </row>
    <row r="118" spans="1:6">
      <c r="A118" s="67"/>
      <c r="B118" s="24" t="s">
        <v>234</v>
      </c>
      <c r="C118" s="24" t="s">
        <v>299</v>
      </c>
      <c r="D118" s="24" t="s">
        <v>233</v>
      </c>
      <c r="E118" s="53">
        <f>3.484-0.255-0.254-0.126-0.5-1.004-0.132-0.128-0.257-0.13-0.125-0.126-0.26+4.75-0.128-0.136-0.256+0.197-4.354-0.274+0.014+2.54+2.55+2.59+2.585-2.59-2.585-1.01-0.255-0.135-0.12-1.67-0.775-0.095-0.025-0.625-0.125-0.14-0.115+3.55+1.665+0.4-0.142-2.065-0.274-0.134-0.28-0.145-0.138-0.28-0.274-0.136-0.544-0.412-0.14-0.092-0.159-0.029-0.415+0.044+3.97+1.12-0.135-1.12-0.13-0.14-0.135-0.135-0.135-0.395+2.57+2.56-0.14-0.135-0.13-0.275-0.42-0.78-0.885-0.265-0.13-0.13-0.135-0.395-0.9-0.13-1.16-0.125-0.12-1.03-0.27-0.37+0.03+5.09-0.255-0.51-0.25-0.13</f>
        <v>3.9450000000000038</v>
      </c>
      <c r="F118" s="25">
        <v>164000</v>
      </c>
    </row>
    <row r="119" spans="1:6">
      <c r="A119"/>
      <c r="B119" s="24">
        <v>20</v>
      </c>
      <c r="C119" s="24" t="s">
        <v>300</v>
      </c>
      <c r="D119" s="24" t="s">
        <v>233</v>
      </c>
      <c r="E119" s="53">
        <f>6.14-0.175-0.94-0.157-0.16-0.118-0.037-0.157+2.87+2.855-0.16-0.165-0.643-0.162-0.157-0.155-0.157-0.157-0.14-0.63-1.1-2.086-0.147-0.018+0.021-1.9-0.966-1.232-0.168+0.011+4.79+2.46+2.77-0.16+0.15-1.38-0.15-0.165-1.24-0.3-2.47-0.16-2-1.545+4.9+4.87-0.17-0.33-0.295-0.34+0.025-1.97-0.17-1.15-0.165-0.165-0.99-1.96-0.985-0.935-0.85+0.07+4.2+4.17-0.16-0.165-0.63-0.785-0.775-0.16-0.32+2.6+2.59-0.16-0.15-0.92-0.31+21.775-0.16-0.205-0.26-0.055-0.31-0.154-0.16-0.31-0.152-0.605-0.156-0.466-0.205-0.41-0.475-0.605-2.296-0.152-0.205-0.156-2.22-2.33-0.46-1.21-0.205-1.01-0.15-0.61-0.205-0.605-0.205-0.805-0.142-0.01-0.152+0.026-0.32-0.61-0.205-0.405-0.405-2.425-1.41-1.21-1.01-1.415-0.315+0.09+2.58+2.035-0.21-0.205+20.714-0.15-0.2-0.447-0.148-0.59-0.82-1.885-0.985-1.965-1.588-0.387-4.553</f>
        <v>14.56600000000001</v>
      </c>
      <c r="F119" s="25">
        <v>156000</v>
      </c>
    </row>
    <row r="120" spans="1:6">
      <c r="A120"/>
      <c r="B120" s="24">
        <v>20</v>
      </c>
      <c r="C120" s="24" t="s">
        <v>301</v>
      </c>
      <c r="D120" s="24" t="s">
        <v>233</v>
      </c>
      <c r="E120" s="53">
        <f>3.76+3.735-0.195-3.76-1.97-0.19-0.54-0.885+0.045+4.76+0.79+4.57-0.5-0.185-3.17-0.18-1.24-4.07-0.805+0.015+0.015+2.575+2.545-0.16-0.15-0.32+4.26+3.865-0.325-0.33-1.15-0.322-0.155-0.32-0.168-0.17-0.16-0.16-0.485-1.99-3.865-0.156-0.165-0.17+0.025-0.17-1.303-0.156-0.004-0.165-0.795+0.044+5.756+4.428-1.332-0.296-0.295-0.148-1.175-0.296-0.29-0.146-0.145-0.59-0.455-1.04-0.298-0.15+19.641-4.025-2.235-0.218-0.225-0.733-0.002-0.224-0.22-1.56-2.005-0.15-0.441-0.446-0.224-0.001-0.45-0.225</f>
        <v>9.7849999999999948</v>
      </c>
      <c r="F120" s="25">
        <v>156000</v>
      </c>
    </row>
    <row r="121" spans="1:6">
      <c r="A121"/>
      <c r="B121" s="24">
        <v>20</v>
      </c>
      <c r="C121" s="24" t="s">
        <v>302</v>
      </c>
      <c r="D121" s="24" t="s">
        <v>233</v>
      </c>
      <c r="E121" s="53">
        <f>2.96+2.15-0.54-0.19-0.365-2.96-1.065+0.01+4.7+4.19+0.34-4.19-0.34-4.7+0.97+5-5-0.39-0.2+1.23+0.94+2.11-1.23-1.536-0.395+0.015-0.635-0.305-0.38-0.194+3.505+3.655+3.675-0.52-0.18-0.88-0.88-0.18-0.705-0.53-0.18-0.525-0.18-0.71-0.175-0.35-1.065-0.36-0.705-1.045-1.055-0.355-0.13-0.064-0.175+0.114+4.31-4.31+18.984-0.26-0.39-0.386-0.13-1.035-0.646-5.005-0.262-0.385-0.516-0.126-0.131-1.155-0.13-0.51-0.647-0.131-0.256</f>
        <v>6.8830000000000009</v>
      </c>
      <c r="F121" s="25">
        <v>147000</v>
      </c>
    </row>
    <row r="122" spans="1:6">
      <c r="A122"/>
      <c r="B122" s="24" t="s">
        <v>234</v>
      </c>
      <c r="C122" s="24" t="s">
        <v>302</v>
      </c>
      <c r="D122" s="24" t="s">
        <v>233</v>
      </c>
      <c r="E122" s="53">
        <f>3.21+2.735+0.445-0.15-0.15-0.165-0.15-0.16-0.13-0.02</f>
        <v>5.4649999999999999</v>
      </c>
      <c r="F122" s="25">
        <v>161000</v>
      </c>
    </row>
    <row r="123" spans="1:6">
      <c r="A123"/>
      <c r="B123" s="24">
        <v>20</v>
      </c>
      <c r="C123" s="24" t="s">
        <v>303</v>
      </c>
      <c r="D123" s="24" t="s">
        <v>233</v>
      </c>
      <c r="E123" s="53">
        <f>17-0.495-0.27-0.215-0.26-0.055-0.12-0.355-0.06-0.285-0.055-3.005-5.025-0.275-2.785-0.06-1.34-0.385-0.153-0.245-1.465-0.05-0.025-0.035+0.018+2.79-0.05-0.315-0.05-0.95-0.06-0.055-0.055-0.285-0.055-0.59-0.275+2.37+2.7-0.3-0.06-0.055-0.68-0.39-0.05-0.44-0.355-0.56-0.065-0.738-0.21-0.353-0.35-0.245-0.055+1.74+1.73+1.81+1.71-0.196-0.048-0.2-0.345-4.982-0.25-0.345-0.392-0.05-0.05-0.155+0.02+0.325-0.325-0.06-0.095</f>
        <v>5.6000000000000688E-2</v>
      </c>
      <c r="F123" s="25">
        <v>163000</v>
      </c>
    </row>
    <row r="124" spans="1:6">
      <c r="A124"/>
      <c r="B124" s="24">
        <v>20</v>
      </c>
      <c r="C124" s="24" t="s">
        <v>304</v>
      </c>
      <c r="D124" s="24" t="s">
        <v>233</v>
      </c>
      <c r="E124" s="53">
        <f>4.98+4.96-0.15-0.155-1.115-0.05-0.518-0.15-0.968-0.827-0.748-0.75-1.71-1.275-1.135-0.08-0.075-0.078-0.116-0.034+0.019-0.027+0.002+4.76-1.26-0.075-0.285+3.46+4.93-0.15-0.07-1.115-1.102-0.075-0.72-0.96-0.295-0.15-0.81-0.22-1.03-2.07-0.08-0.07-0.495-0.053-0.027-0.49-1.395-0.22+0.037+0.03+4.95-4.02-0.076+0.076-0.39-0.158-0.312-0.08+0.01+20.581-0.095-0.095-0.385+3.705+4.765-0.095-0.38-0.29-0.08-0.078-0.076-0.305-0.078-0.384-0.08-0.152-0.078-0.1-0.238-0.1-0.1-0.078-0.395-0.29-0.095-0.838-0.57-0.075-0.228-0.08-0.077-0.236-0.392-0.385-0.095-1.015-0.076-0.081-0.19-0.095-0.85-0.29-0.235-0.076-0.005-0.1-0.095-0.385-0.29-0.095-0.095</f>
        <v>18.055000000000003</v>
      </c>
      <c r="F124" s="25">
        <v>167500</v>
      </c>
    </row>
    <row r="125" spans="1:6">
      <c r="A125"/>
      <c r="B125" s="24">
        <v>20</v>
      </c>
      <c r="C125" s="24" t="s">
        <v>305</v>
      </c>
      <c r="D125" s="24" t="s">
        <v>233</v>
      </c>
      <c r="E125" s="53">
        <f>2.213-0.08-0.05-0.075+4.94-0.16+0.001-0.08-0.395-0.08-4.425-0.165-0.252-0.085-0.238-0.08+4.814-1.05-0.075-0.08-0.247-0.013-3.764-0.016-0.322-0.082+1.435+3.12-0.155-0.085-0.935-0.075-0.075-0.09-0.008-0.032-0.075-0.16+0.014-0.085-0.08-0.32-0.25-0.31-0.085-0.15-0.16+4.915+4.115+0.97-0.075-0.155-0.725+2.82-0.385+2.36-0.078-0.078-0.08-0.16-0.186-0.87-0.325-0.32-0.682-0.47-0.14-0.075-0.152-0.09-1.735-0.458-0.075-0.103-0.052-0.155-1.272-0.154-0.091+0.018-2.185-1.135-0.245-1.045-0.17-0.278-0.32-0.08-0.085-0.096+0.021-0.495-0.305-1.07-0.155+4.145+0.93-0.16-0.16-0.08+0.073-0.48-0.242-0.084-1.596-0.48+4.497+4.448+4.429+2.234+4.432-0.1-0.81-0.4-0.082-0.41-0.08-0.08-0.08-0.078-0.156-0.105-0.051-0.105+0.049-0.205-0.105-0.205-0.105+0.172-0.1-0.2+0.65-0.2-0.499-0.105-0.305-0.105-0.105-14.977-0.118-0.172-0.1-1.005-0.1-0.105-0.11-0.305-0.804</f>
        <v>0.21200000000001284</v>
      </c>
      <c r="F125" s="25">
        <v>157500</v>
      </c>
    </row>
    <row r="126" spans="1:6">
      <c r="A126"/>
      <c r="B126" s="24">
        <v>20</v>
      </c>
      <c r="C126" s="24" t="s">
        <v>306</v>
      </c>
      <c r="D126" s="24" t="s">
        <v>233</v>
      </c>
      <c r="E126" s="53">
        <f>4.775-0.245-0.37-0.25-0.37-0.25-1.715-0.855-0.13-0.255-0.37+0.035+4.64-0.25-0.868-0.615-0.122-0.125-1.965-0.25-0.37+4.67-2.585-1.025-0.34-0.11-0.23-0.23-0.124-0.11+0.049+3.87+1.465-0.255-0.121-0.245-0.485-0.11-0.245-0.48-0.855-0.485+2.71+2.59-0.48-0.13-0.13-0.975-0.235-0.01-0.245-0.12-0.245-0.37-1.195-0.705-0.104-0.011-0.12-0.019-0.125-0.12+4.27+4.274+3.88+4.254+4.267-0.24-0.95-0.65-0.13-0.135-0.39-4.27-4.274-4.254-1.94-0.635-0.01-0.13-0.13+4.754+4.337+4.788+2.176+4.754-1.025-0.12-1.151-1.885-0.24-0.13-0.13-0.285-0.29-0.445-0.12-0.14-1.97-0.15-0.13-2.162-0.016-0.13-1.87-0.39-0.13-0.145-0.125-2.589+21.471-0.39-0.26-0.29-0.145-0.145-0.019+0.019-0.381+0.044-1.44-0.145-0.145-0.29-0.115-0.145-0.09-0.03-0.145-0.58-0.108-0.037-0.145-0.287-0.003</f>
        <v>26.102000000000007</v>
      </c>
      <c r="F126" s="25">
        <v>157500</v>
      </c>
    </row>
    <row r="127" spans="1:6">
      <c r="A127"/>
      <c r="B127" s="24">
        <v>20</v>
      </c>
      <c r="C127" s="24" t="s">
        <v>307</v>
      </c>
      <c r="D127" s="24" t="s">
        <v>233</v>
      </c>
      <c r="E127" s="53">
        <f>4.73-0.14-0.305-0.145-0.145-0.29-0.425-2-0.58-0.715+0.015+3.31+1.7+4.61-0.155+0.155-0.675-0.395-0.14-0.395-0.81-0.4-0.135-0.265-0.135+0.04-0.14-0.14-0.535-2.235+3.72+3.75-0.52-1.075-0.26-0.135-1.2-0.14-1.7-0.36-0.135-3.75-1.46+0.005+2.42-0.362+2.7+2.57-0.244-0.13-0.252-0.95-1.35-1.235-1.46-0.4-1.335+0.028+4.286+4.277+4.277+4.281+4.281-0.36-0.18-0.535-0.185-0.54-0.36-1.43-1.075-0.72-0.895-0.18-0.18-0.18-0.18-0.54-0.18-0.331-0.204-1.25-0.715-0.365-0.36-0.36-0.715-0.18+0.01-0.413-0.307-0.36+19.855-1.08-0.18-0.54+0.004-0.876-1.804-0.18-1.08-0.505-0.163-0.84-0.54-0.36-1.349-0.261+0.118-1.515-0.505-1.015-1.015-1.501-0.674-0.001-0.17+21.495-0.17-1.02-0.17-0.51-0.5-0.17-0.148-0.187-1.168-0.322-0.9-0.9-0.18-0.18-0.36-0.18-0.18-0.36</f>
        <v>25.845000000000013</v>
      </c>
      <c r="F127" s="25">
        <v>157500</v>
      </c>
    </row>
    <row r="128" spans="1:6">
      <c r="A128"/>
      <c r="B128" s="24">
        <v>20</v>
      </c>
      <c r="C128" s="24" t="s">
        <v>308</v>
      </c>
      <c r="D128" s="24" t="s">
        <v>233</v>
      </c>
      <c r="E128" s="53">
        <f>1.843-0.285-0.714+2.52+2.53-0.42-0.14-0.14-0.14-0.42-0.84-0.56-0.14+2.68+2.4+0.27-0.15-0.15-0.58-0.144-0.135-0.14-0.142-0.985-0.71-0.155-0.145-1.97-0.12-0.27-0.035-0.02-0.034-0.391-1.52-0.59+0.007-0.125+0.06+3.6+3.5-3.6-3.5+3.92+3.35-3.92-0.58-0.465-0.728-0.3-1.01-0.145-0.145+0.023+5.28-0.289-0.998-0.14-1.004-0.575-0.286-1.29-0.144-0.148-0.146-0.284+0.024+3.874+3.885+3.874+3.875+1.224+2.851-0.21-1.025-0.41-0.205-0.205-0.205-0.591-0.024-1.224-0.205-0.21-0.21-0.41-0.205-1.435-0.82-0.82-0.41-1.23-0.205-3.28-0.205-0.021-1.004-0.57-0.25-0.41+20.746-0.119-0.091-0.62-0.21-1.03-0.205-0.205-0.41-0.41-0.41-1.625-1.625-0.205-4.056-4.065-4.073+18.931+2.366-0.79-0.205-1.575-0.205+0.126-0.395-0.395-2.365-4.731-0.005</f>
        <v>15.728000000000005</v>
      </c>
      <c r="F128" s="25">
        <v>157500</v>
      </c>
    </row>
    <row r="129" spans="1:6">
      <c r="A129"/>
      <c r="B129" s="24">
        <v>20</v>
      </c>
      <c r="C129" s="24" t="s">
        <v>309</v>
      </c>
      <c r="D129" s="24" t="s">
        <v>233</v>
      </c>
      <c r="E129" s="53">
        <f>2.719-0.32-0.645-0.16-0.01-0.14-0.84-0.154-0.492+0.042+2.6+2.76-0.165-0.81-0.324-0.65-0.328-0.816-1.462-0.482-0.006+2.56+4.43-0.165-0.166+0.014-1.115-1.105-2.56-0.32-0.32-1.265-0.315+0.01+3.1+3.75+0.32-0.32-0.17-0.822-0.492-0.81-0.658-0.166-0.65-0.818-1.632+3.24+4.394+4.408+4.409+4.41+0.223+0.218-0.223-0.476-0.012-3.24-0.235-1.625-0.218-0.7-0.465-0.7-0.235-2.325-0.47-1.615-0.434-0.051-0.93-3.95-0.407-0.063-0.93-0.93-0.94-0.235+11.194-0.225-0.225-0.225-0.164+0.02-1.55-0.225-0.225-1.33-0.225-0.47+0.089-0.222-0.225-0.225-0.89-0.45-0.23-0.225+5.54+21.067-1.115-0.665-0.705-0.235-0.47-0.234-0.45-0.94-0.235-0.223-0.235-0.44-0.441-0.71-0.22-0.235</f>
        <v>23.551000000000009</v>
      </c>
      <c r="F129" s="25">
        <v>157500</v>
      </c>
    </row>
    <row r="130" spans="1:6">
      <c r="A130"/>
      <c r="B130" s="24">
        <v>20</v>
      </c>
      <c r="C130" s="24" t="s">
        <v>310</v>
      </c>
      <c r="D130" s="24" t="s">
        <v>233</v>
      </c>
      <c r="E130" s="53">
        <f>11.622-0.45-0.675-0.45-0.225-0.225-0.675-0.45-0.675-0.675+21.074-0.23-2.52-0.46-0.225-0.45-2.07-0.225-0.45-2.03-0.225-0.21-0.005-1.079-1.446-0.143-0.087-0.46</f>
        <v>15.880999999999997</v>
      </c>
      <c r="F130" s="25">
        <v>157500</v>
      </c>
    </row>
    <row r="131" spans="1:6">
      <c r="A131"/>
      <c r="B131" s="24">
        <v>20</v>
      </c>
      <c r="C131" s="24" t="s">
        <v>311</v>
      </c>
      <c r="D131" s="24" t="s">
        <v>233</v>
      </c>
      <c r="E131" s="53">
        <f>2.355+3.32-0.715-1.64-3.325+0.005+5.37-0.465-0.445-0.24-0.665-0.23-0.7-1.79-0.905+0.07+4.815-1.925-1.25+2.41+2.698-0.245-0.73-1.165-2.41-1.23-0.45-0.03-0.258</f>
        <v>0.23000000000000131</v>
      </c>
      <c r="F131" s="25">
        <v>164000</v>
      </c>
    </row>
    <row r="132" spans="1:6">
      <c r="A132"/>
      <c r="B132" s="24">
        <v>20</v>
      </c>
      <c r="C132" s="24" t="s">
        <v>312</v>
      </c>
      <c r="D132" s="24" t="s">
        <v>233</v>
      </c>
      <c r="E132" s="53">
        <f>5.945-0.5-0.256-0.255-0.75-0.252-0.502-0.49-0.497-0.497-0.498-1.242-0.242+0.036+3.031+2.115-0.915-0.93-0.318+5.548-0.795-0.3-0.6-0.48-0.6-0.298-0.612</f>
        <v>4.8460000000000019</v>
      </c>
      <c r="F132" s="25">
        <v>164000</v>
      </c>
    </row>
    <row r="133" spans="1:6">
      <c r="A133"/>
      <c r="B133" s="24">
        <v>20</v>
      </c>
      <c r="C133" s="24" t="s">
        <v>313</v>
      </c>
      <c r="D133" s="24" t="s">
        <v>233</v>
      </c>
      <c r="E133" s="53">
        <f>2.841-0.115-0.06-0.065-0.098-0.125-0.13-0.125-0.065-0.064-0.215-0.125-0.023-0.166-0.064-0.72-0.027-0.04-0.004-0.134-0.26-0.216+3.61+0.654-0.135-0.075-0.056-1.995-0.072-0.49-0.388-0.147-0.285-0.072-0.425-0.13+0.006+4.39+1.09-0.148-0.222-3.8-1.096-0.22+0.006+0.41+2.21+0.448+2.53-0.915-1.615-0.448-2.21-0.234-0.08-0.046+2.58+2.45+2.644+2.34-0.145-1.87-0.08-0.13-1.46-0.14-0.075-0.14-0.07-0.135-0.22-0.07-0.26-0.235-0.235-0.225</f>
        <v>4.5739999999999998</v>
      </c>
      <c r="F133" s="25">
        <v>164000</v>
      </c>
    </row>
    <row r="134" spans="1:6">
      <c r="A134"/>
      <c r="B134" s="24" t="s">
        <v>234</v>
      </c>
      <c r="C134" s="24" t="s">
        <v>313</v>
      </c>
      <c r="D134" s="24" t="s">
        <v>233</v>
      </c>
      <c r="E134" s="53">
        <f>0.5-0.075-0.22-0.07</f>
        <v>0.13499999999999998</v>
      </c>
      <c r="F134" s="25">
        <v>170000</v>
      </c>
    </row>
    <row r="135" spans="1:6">
      <c r="A135"/>
      <c r="B135" s="24">
        <v>20</v>
      </c>
      <c r="C135" s="24" t="s">
        <v>314</v>
      </c>
      <c r="D135" s="24" t="s">
        <v>233</v>
      </c>
      <c r="E135" s="53">
        <f>0.772-0.09+0.001-0.023-0.239-0.09-0.069-0.041-0.085+4.854-0.525-0.085-0.27-0.09+0.039-0.18-0.255-0.09-0.095-1.305-1.47-0.09-0.535+1.195-0.286-0.082+3.116+2.244-1.055-0.26-2.244-0.605-1.196-0.722+20.729-5.208-0.292-0.872-0.58-5.025-0.132-0.674+0.027-0.292-0.87-0.102+9.977-2.215-0.89-0.096-0.1-1.835-0.96-0.196-0.096-0.102-0.039-0.876-0.396-0.401-5.73-0.678-2.262+0.042</f>
        <v>1.519617764955683E-15</v>
      </c>
      <c r="F135" s="25">
        <v>167500</v>
      </c>
    </row>
    <row r="136" spans="1:6">
      <c r="A136"/>
      <c r="B136" s="24" t="s">
        <v>234</v>
      </c>
      <c r="C136" s="24" t="s">
        <v>314</v>
      </c>
      <c r="D136" s="24" t="s">
        <v>233</v>
      </c>
      <c r="E136" s="53">
        <f>1.472+4.32+4.352-0.094-0.176-3.02-0.086-0.61-4.352-0.642-1.116-0.085+0.037+3.018+2.942-0.95-0.09-0.085-0.085-0.085-0.175-0.515-0.175-1.038-0.175+4.652</f>
        <v>7.2390000000000008</v>
      </c>
      <c r="F136" s="25">
        <v>167500</v>
      </c>
    </row>
    <row r="137" spans="1:6">
      <c r="A137"/>
      <c r="B137" s="24">
        <v>20</v>
      </c>
      <c r="C137" s="24" t="s">
        <v>315</v>
      </c>
      <c r="D137" s="24" t="s">
        <v>233</v>
      </c>
      <c r="E137" s="53">
        <f>4.094-0.552-0.205-1.1-0.102-0.31-0.578-0.239-0.515+0.027-0.095-0.105-0.105+2.41+2.51-0.59-1.82-2.51-0.1-0.1-0.015+4.8-0.1-1.004-0.2-1.198-0.1-0.204-0.104-0.204+0.56-0.1-0.114+4.93-0.335-1.225-4.93-0.111-0.403+0.042+5.19-0.256-0.255-0.85-0.17-3.686+0.027+3.961+7.92-0.22+3.829+3.536+1.078-0.54-0.11-0.22-3.829-1.078-0.425+4.611+4.621+4.197+4.607+4.591-0.105-0.11-0.11-0.32-3.536-0.11-0.11-0.325-0.54-0.315-0.11-0.75-0.735-4.621-4.607-0.315-1.062-4.197-4.486+20.606-0.33-4.593-4.604-0.85-1.19-0.215-0.11-2.65-2.005-1.21-0.636-0.735-0.94-1.467-0.105-0.315-0.84-1.57-0.105+20.458-0.42-0.84-4.593-4.602-0.525-0.315-1.89-0.63-0.11+21.168-0.105-0.31-0.509-4.59</f>
        <v>28.387999999999995</v>
      </c>
      <c r="F137" s="25">
        <v>152000</v>
      </c>
    </row>
    <row r="138" spans="1:6">
      <c r="A138"/>
      <c r="B138" s="24">
        <v>20</v>
      </c>
      <c r="C138" s="24" t="s">
        <v>316</v>
      </c>
      <c r="D138" s="24" t="s">
        <v>233</v>
      </c>
      <c r="E138" s="53">
        <f>7.7+0.385-2.63-2.5-0.205+4.82+0.35-3.68-0.35-1.14-0.8-0.705+0.035-0.385-0.765+0.685+0.37-0.145-0.095+4.985-2.02-0.115-0.325-1.08-1.465+0.02+1.04-0.37-0.28-0.212-0.14+0.76+2.3-0.702+0.014-0.805-0.4-0.035</f>
        <v>2.1149999999999998</v>
      </c>
      <c r="F138" s="25">
        <v>157000</v>
      </c>
    </row>
    <row r="139" spans="1:6">
      <c r="A139"/>
      <c r="B139" s="24">
        <v>20</v>
      </c>
      <c r="C139" s="24" t="s">
        <v>317</v>
      </c>
      <c r="D139" s="24" t="s">
        <v>233</v>
      </c>
      <c r="E139" s="53">
        <f>36.692-0.155-0.465-2.789-0.155-0.65-0.4-0.13-0.16-1.09-0.265-1.97-1.71-1.085-3.707-4.481-2.015-2.467-4.485-0.938+0.03-3.05-2.406-0.779+20.786-0.139-1.58-0.475-2.521-1.895-7.712-1.105+17.808+3.374-0.46-0.315-3.38-4.454-0.608-2-0.155-1.385-0.155-8.728+7.187+13.693-0.01-0.455-0.305-0.925-0.306-3.669-2.913-0.007-2.12-0.63-3.665-3.668-1.06-1.795-0.155-1.075+20.789-0.155-0.155-0.395</f>
        <v>24.476999999999983</v>
      </c>
      <c r="F139" s="25">
        <v>156000</v>
      </c>
    </row>
    <row r="140" spans="1:6">
      <c r="A140"/>
      <c r="B140" s="24" t="s">
        <v>234</v>
      </c>
      <c r="C140" s="24" t="s">
        <v>317</v>
      </c>
      <c r="D140" s="24" t="s">
        <v>233</v>
      </c>
      <c r="E140" s="53">
        <f>4.905-0.116-0.47-0.11-0.118-0.12-0.12-0.12-0.35-0.115-0.116-0.705-0.58-0.24-0.715-0.47-0.125+4.42+0.71-2.15-1.195-1.075-0.226-0.01-0.235-0.475-0.11+0.031+4.7-0.45-0.345-1.04-1.03-0.13-0.69-0.345-0.7+0.03+2.59+2.19-0.11-1.04-0.725-0.108+2.08+2.8-0.308-0.318+0.72-1.872-0.214+0.018-2.066-0.014-0.103-2.8-0.11-0.105-0.505+4.87-4.87+4.569+4.572+4.568+4.408+4.567-0.16-0.16-0.315-4.569-4.572-4.568-4.085-0.16-0.16-0.31+3.644+3.644+3.643+3.637+0.135+1.211+3.64-0.32-3.644-0.305-3.644-0.135-1.211-3.038-0.163-0.007-0.315-0.61-2-0.88-0.3-0.147-2.578-0.155-1.58-0.16+22.067-1.092-1.7-0.165-0.315-0.475+21.329-0.472-1.39-0.13-2.02-0.775-1.071-0.323-4.483-4.483-0.155-0.925-1.326-2.017-0.305-0.15-2.17-0.156-0.775-2.94-0.775-0.03-1.06-0.62-0.156-0.935-0.155-0.777-0.156-1.395-0.155-0.605-0.156</f>
        <v>8.5949999999999918</v>
      </c>
      <c r="F140" s="25">
        <v>167000</v>
      </c>
    </row>
    <row r="141" spans="1:6">
      <c r="A141"/>
      <c r="B141" s="24">
        <v>20</v>
      </c>
      <c r="C141" s="24" t="s">
        <v>782</v>
      </c>
      <c r="D141" s="24" t="s">
        <v>233</v>
      </c>
      <c r="E141" s="53">
        <f>0.238+0.645-0.14-0.522-0.13+0.017-0.15+0.042+0.52-0.265</f>
        <v>0.255</v>
      </c>
      <c r="F141" s="25">
        <v>150000</v>
      </c>
    </row>
    <row r="142" spans="1:6">
      <c r="A142"/>
      <c r="B142" s="24">
        <v>20</v>
      </c>
      <c r="C142" s="24" t="s">
        <v>318</v>
      </c>
      <c r="D142" s="24" t="s">
        <v>233</v>
      </c>
      <c r="E142" s="53">
        <f>18.789-0.555-4.457+4.494+4.498+4.495+3.374+4.498-0.37-0.926-0.37-1-0.19-0.19-0.185-2.254-0.555-5.005-0.56-4.498-3.934-4.498-3.735-0.545+0.005-0.76-0.005+20.607-0.745-0.935-0.165-0.196-1.324-0.47-2.25-0.755-0.245+1.393-0.932-0.748+26.069+2.033+4.062-0.95-0.38-0.95-9.379-3.975-4.524-4.536-4.543-1.505-0.361-2.099-2.033-4.062-1.136-1.495+10-0.19-3.423-1.484-0.222+11.181-12.676-6.797-1.495+3.412+4.542+4.538+9.036+9.043-0.19-0.94-2.46-0.566-0.936+0.013+29.262+1.092-1.13-0.192-2.632-4.503-2.07-0.573-0.187-0.344-0.561-1.125-0.934-2.44-0.38-1.52-0.19-0.38-0.555-19.519-0.191-0.38-1.13-3.21-0.38-0.38</f>
        <v>14.866000000000007</v>
      </c>
      <c r="F142" s="25">
        <v>150000</v>
      </c>
    </row>
    <row r="143" spans="1:6">
      <c r="A143"/>
      <c r="B143" s="24" t="s">
        <v>234</v>
      </c>
      <c r="C143" s="24" t="s">
        <v>318</v>
      </c>
      <c r="D143" s="24" t="s">
        <v>233</v>
      </c>
      <c r="E143" s="53">
        <f>0.68-0.14+10.105-0.135-0.135-3.32-3.505-0.14-1-1.71-0.16-0.5+0.71+4.59-3.07-0.145-0.565-1.52-0.035-0.005+2.5+2.65-0.145+1-0.98-2.355-1.67-0.82-0.18+3.87+3.685+2.38-3.87-1.15-2.265-2.38-0.27-0.01+0.01+2.57+0.5-0.5-1.03-1.156+0.857+4.116+4.1+4.11+4.107+0.16+4.094+1.65+0.38-0.125-0.857-0.16-0.76-0.39-0.255-0.525-0.254+0.025-0.17-1.54-0.175-1.525-2.06-0.69-1.55-0.515-0.506-1.54-2.055-0.685-0.515+4.461+4.462+4.466+4.458+2.233-4.094-0.69-2.047-0.36-0.17-1.873-4.458-4.462-4.466-1.105-2.03-1.123-0.203-0.13+19.88-0.19-1.51-4.494-0.57-0.57-0.755-1.13-0.19-0.734-0.016-0.19+8.694+3.81-5.923-4.132-0.48-0.19+5.394+0.037-3.02-0.16+1.057-14.649+0.031+20.417-1.135-0.38-0.19</f>
        <v>18.711999999999986</v>
      </c>
      <c r="F143" s="25">
        <v>160000</v>
      </c>
    </row>
    <row r="144" spans="1:6">
      <c r="A144"/>
      <c r="B144" s="24" t="s">
        <v>234</v>
      </c>
      <c r="C144" s="24" t="s">
        <v>1126</v>
      </c>
      <c r="D144" s="24" t="s">
        <v>233</v>
      </c>
      <c r="E144" s="53">
        <f>19.765</f>
        <v>19.765000000000001</v>
      </c>
      <c r="F144" s="25">
        <v>160000</v>
      </c>
    </row>
    <row r="145" spans="1:6">
      <c r="A145"/>
      <c r="B145" s="24">
        <v>20</v>
      </c>
      <c r="C145" s="24" t="s">
        <v>319</v>
      </c>
      <c r="D145" s="24" t="s">
        <v>233</v>
      </c>
      <c r="E145" s="53">
        <f>5.645-0.175-0.164-0.175+0.005-0.325-0.34-1.645-0.6-0.325+2.7+0.43+1.35+0.88-2.7-0.29-0.145+0.005-0.146-0.146-1.35-0.345-0.243-0.082-0.295-0.265-0.025-0.375+5.05-0.16-0.74-0.75-1.19-2.37-0.4+5.07-5.07-0.205+0.01+4.94-0.64+0.64-0.96-0.164+2.57-0.164-0.162+2.53+0.14+0.14-1.118-1.118-2.406-0.614-0.032-1.04+0.165-0.17-0.472-0.598+4.093+4.102+4.111+4.111+2.804+4.099-0.16-0.14-0.005-0.42-0.029-0.22-0.435-0.48+0.01-0.22-0.215-0.65-1.085-0.86-0.408-2.154-0.65-0.65-0.65-0.65-1.295-0.103-0.201+0.061-1.95-0.22-2.152-0.634-0.435-0.43-0.22+0.755-0.435-0.255-0.43-0.25-0.655-0.44-0.64-0.22-1.291-0.25-0.01-0.215-2.811+21.819-0.215-0.65-1.29-0.435-0.364-0.215-1.075-1.491+11.556-0.505-0.215-1.002-0.666-0.66-0.645-1.165-0.645-0.655-0.645-0.175-0.215-0.645-0.192-0.01-0.228-0.215-0.43-0.807-0.98-0.645-1.075-0.215-0.43-0.215-0.841-0.228-0.326-0.43-0.645-0.215</f>
        <v>11.769000000000013</v>
      </c>
      <c r="F145" s="25">
        <v>152000</v>
      </c>
    </row>
    <row r="146" spans="1:6">
      <c r="A146"/>
      <c r="B146" s="24" t="s">
        <v>234</v>
      </c>
      <c r="C146" s="24" t="s">
        <v>319</v>
      </c>
      <c r="D146" s="24" t="s">
        <v>233</v>
      </c>
      <c r="E146" s="53">
        <f>4.7+0.58-0.31-0.305-1.08-2.13-0.315-0.32-0.58+4.34-0.545-0.18-0.72+3.72+3.51-0.56-2.4+0.065-0.3+0.06-2.77-0.655-0-0.165+2.72+2.725-0.155-1.125-0.16-0.965-0.16-0.66-0.155-0.163-1.45-0.085-0.075</f>
        <v>3.9319999999999986</v>
      </c>
      <c r="F146" s="25">
        <v>161000</v>
      </c>
    </row>
    <row r="147" spans="1:6">
      <c r="A147"/>
      <c r="B147" s="24">
        <v>20</v>
      </c>
      <c r="C147" s="24" t="s">
        <v>320</v>
      </c>
      <c r="D147" s="24" t="s">
        <v>233</v>
      </c>
      <c r="E147" s="53">
        <f>8.35-1.03-0.175-2.79-0.34-0.185-0.475-0.475-0.315-0.31-0.312-0.345-0.143-0.017-0.175+4.29+0.85-4.29-0.85-0.16-0.065-0.1-0.87+4.47-0.068-3.944-0.352-0.16-0.014-0.015+0.015+4.323+0.258+4.319+2.499+4.319+4.322-1.595+1.589-0.258-2.29-0.209-1.589-0.455-1.15-0.92-2.727-0.46+20.049+19.562-1.338-0.68-2.05-0.455-1.589-4.223-4.229-2.665-0.225-1.14-0.225-0.23-0.235-0.225-0.465-0.225-0.67-0.894-0.445-0.22-1.785-0.89-0.228-0.874-0.225-1.115-0.67-2.438-0.225-10.031-0.895+19.856+0.408-1.998-0.225-1.554-0.225-0.204-0.225-1.102-0.008-0.225-1.115-0.22-0.204-0.225+0.052-0.001-0.66-2.01+0.001-0.012-0.213-0.445-0.223-0.902</f>
        <v>16.103999999999996</v>
      </c>
      <c r="F147" s="25">
        <v>152500</v>
      </c>
    </row>
    <row r="148" spans="1:6">
      <c r="A148"/>
      <c r="B148" s="24" t="s">
        <v>234</v>
      </c>
      <c r="C148" s="24" t="s">
        <v>320</v>
      </c>
      <c r="D148" s="24" t="s">
        <v>233</v>
      </c>
      <c r="E148" s="53">
        <f>3.22+1.84+0.16-0.16-0.175-0.34-0.34-0.18-0.165-0.165-3.695+3.343-0.325-1.14-0.322-0.166-0.322-0.32-0.16</f>
        <v>0.58800000000000108</v>
      </c>
      <c r="F148" s="25">
        <v>161000</v>
      </c>
    </row>
    <row r="149" spans="1:6">
      <c r="A149"/>
      <c r="B149" s="24">
        <v>20</v>
      </c>
      <c r="C149" s="24" t="s">
        <v>783</v>
      </c>
      <c r="D149" s="24" t="s">
        <v>233</v>
      </c>
      <c r="E149" s="53">
        <f>3.53+3.55-0.19-0.187-3.53-3.185+0.012+2.725+3.98+3.7-10.405+4.705-4.475+0.19+2.11+2.11+0.95-0.19-0.58-0.39-2.11-2.32+4.464+4.468+4.471+4.468+1.786-4.468-0.68-0.225-1.12-0.665-4.468-8.031+19.986+21.313-2.085-0.695-4.165-0.465-0.245-0.45+0.202-0.23-0.23</f>
        <v>32.936000000000007</v>
      </c>
      <c r="F149" s="25">
        <v>156000</v>
      </c>
    </row>
    <row r="150" spans="1:6">
      <c r="A150"/>
      <c r="B150" s="24">
        <v>20</v>
      </c>
      <c r="C150" s="24" t="s">
        <v>321</v>
      </c>
      <c r="D150" s="24" t="s">
        <v>233</v>
      </c>
      <c r="E150" s="53">
        <f>4.723-0.205-0.2-0.202-0.001-0.378-0.815-0.405-0.188-0.81-0.188-0.978-0.047+0.006-0.188+0.012+5.326-1.975-0.295-0.845+5.772+4.3-0.285-0.575-0.585-0.29-0.285</f>
        <v>10.399000000000001</v>
      </c>
      <c r="F150" s="25">
        <v>156000</v>
      </c>
    </row>
    <row r="151" spans="1:6">
      <c r="A151"/>
      <c r="B151" s="24">
        <v>20</v>
      </c>
      <c r="C151" s="24" t="s">
        <v>322</v>
      </c>
      <c r="D151" s="24" t="s">
        <v>233</v>
      </c>
      <c r="E151" s="53">
        <f>2.69+2.69+0.48-0.242-2.448-2.69-0.484+0.004+5.41-0.74-0.495-0.255-0.255-0.25-0.255-0.245-0.975-1.472+4.81-0.53-0.265-0.54-0.535-0.5+0.032-0.27-0.265-0.27-0.535+5.058-0.298-0.27-0.302-0.306-0.3-0.305-0.285-0.3</f>
        <v>4.2919999999999989</v>
      </c>
      <c r="F151" s="25">
        <v>161000</v>
      </c>
    </row>
    <row r="152" spans="1:6">
      <c r="A152"/>
      <c r="B152" s="24">
        <v>20</v>
      </c>
      <c r="C152" s="24" t="s">
        <v>37</v>
      </c>
      <c r="D152" s="24" t="s">
        <v>233</v>
      </c>
      <c r="E152" s="53">
        <f>10.426-0.021-0.52-0.135-0.065-0.056+0.014-0.13-1.18-0.525-0.66-0.655-0.065-0.27-0.135-0.145-1-0.07-0.07+3.435+2.86+2.222-0.345-3.445-0.53+0.01-0.45-0.075-0.26-0.065-0.195-0.135-0.395-1.02-0.44-3.09-0.13-0.38+2.126+2.002+2.324-0.11-0.061-0.065-0.39-0.505-0.065-1.819-0.505-0.17-0.955-0.83-0.22-0.33-0.111+4.985-0.69-0.58-0.305-1.265-0.035-0.095-0.53-0.06-0.98-0.67</f>
        <v>2.401000000000002</v>
      </c>
      <c r="F152" s="25">
        <v>172500</v>
      </c>
    </row>
    <row r="153" spans="1:6">
      <c r="A153"/>
      <c r="B153" s="24" t="s">
        <v>234</v>
      </c>
      <c r="C153" s="24" t="s">
        <v>37</v>
      </c>
      <c r="D153" s="24" t="s">
        <v>233</v>
      </c>
      <c r="E153" s="53">
        <f>7.687-0.322-0.056-0.57-0.058-0.11-0.225-0.335-0.318-0.054-0.385+0.015-0.065-0.23-0.165-0.234-1.455-0.41-0.118-0.275-0.348-0.165-0.115+1.76+1.67-1.106-0.142+0.019-1.132-0.284+1.73-0.436-1.005-0.355-0.289-0.423-0.354-0.074-0.072-0.496-0.354+0.81-0.29-0.185-0.039-0.52+2.5+2.782-0.056-0.02-0.505-1.995-2.828+0.288+1.876-0.465-0.458-0.058+1.358+1.35-0.372-0.112-1.35-0.06-0.055-0.516-0.207-0.364-0.622+1.54+0.56-0.125-1.044-0.074-0.56-0.032-0.418+0.028+3.244+2.024-0.495-1.529-0.43-0.14-1.975+2.39-0.21+7.044-0.282-0.07-0.06-0.74-0.07+0.434-0.067-0.008-0.865-0.065-0.835-0.19-2.578-0.455-0.12-0.685-0.05-0.245-0.99-0.46-0.06</f>
        <v>1.5699999999999981</v>
      </c>
      <c r="F153" s="25">
        <v>184900</v>
      </c>
    </row>
    <row r="154" spans="1:6">
      <c r="A154"/>
      <c r="B154" s="24">
        <v>20</v>
      </c>
      <c r="C154" s="24" t="s">
        <v>38</v>
      </c>
      <c r="D154" s="24" t="s">
        <v>233</v>
      </c>
      <c r="E154" s="53">
        <f>2.94-0.27-0.08-0.27-0.205-0.158-0.13-0.135+3.405+4.01+3.405+0.86-0.2-0.654+0.036-0.11-0.375-0.025+20.8+9.271+3.445-1.475-0.068-2.08-0.13-0.605-0.35-1.82-0.52-0.07-1.04-0.26-0.06-0.951-0.515-0.72-0.46-1.215-2.08-0.52-0.085-0.07-0.45-0.13-0.042-0.065-0.13-1.38-0.175-11.005+3.09-1.04-0.519-1.04-2.08-0.001-0.09-0.07-1.33-0.4-0.21+0.39-0.54-0.435-2.98-0.515-0.46-1.035-0.07-0.585-0.2-0.135+2.565+2.8+4.245-0.156-1.326-0.2-0.001-0.623-0.082-6.43-0.235-0.236-0.386-0.07-0.081-0.125-0.11-1.196-0.04-0.094-0.465-0.066+0.066-0.081-0.157-0.13-0.135-0.4+5.09-0.125-2.001-0.067-0.13-0.066-0.07-0.537-0.136-0.07-0.136-0.33-0.066-1.915</f>
        <v>3.1260000000000003</v>
      </c>
      <c r="F154" s="25">
        <v>152000</v>
      </c>
    </row>
    <row r="155" spans="1:6">
      <c r="A155"/>
      <c r="B155" s="24" t="s">
        <v>234</v>
      </c>
      <c r="C155" s="24" t="s">
        <v>38</v>
      </c>
      <c r="D155" s="24" t="s">
        <v>233</v>
      </c>
      <c r="E155" s="53">
        <f>6.163-0.475-0.22-0.078-0.31-0.4-0.078-1.615-0.6+0.019-0.127-0.165-1.617+0.01-0.155-0.15-0.01-0.06+0.06+4.892-0.15+0.233-0.206-0.027-0.142-0.276-0.075-4.441+4.18+4.2+0.91+2.5+2.39+4.12-4.12+1.59-0.078-1.445+4.19+0.67+1.46-0.462-0.08+4.16-4.19-0.08-0.375-1.46-0.385+0.618+0.225-11.73-0.155+0.71+1.66+2.32+0.42-2.32-0.47+0.007-1.66-0.49-0.225-4.16-0.986+0-0.604-0.13-0.065-0.02-0.13-0.09-0.362-0.068+0.01+0.5+3.33+3.38+3.366-3.33-3.38-0.95-2.015-0.5-0.275-0.126+2.149+4.176-0.185-0.425+5.852-0.075-2.03-1.964-3.824-0.346+0.002-0.496-0.502+0.08-0.216-0.212-0.286-0.43-0.216-0.348+1.74+2.345-2.345-0.644+0.02-1.74+0.62+0.49-1.11+0.74+4.826+3.07-4.826-0.218+0.218-0.74-0.244-2.826+13.806-0.07-0.84-2.22-1.14-0.485-2.82-0.075-0.585-0.49-5.081+4.69+4.652+4.501-4.69-0.14-0.069-0.345-4.098-0.57-0.07-0.345-0.36-0.075-0.07-0.075-0.285-2.651</f>
        <v>8.0000000000001847E-2</v>
      </c>
      <c r="F155" s="25">
        <v>167500</v>
      </c>
    </row>
    <row r="156" spans="1:6">
      <c r="A156"/>
      <c r="B156" s="24">
        <v>20</v>
      </c>
      <c r="C156" s="24" t="s">
        <v>40</v>
      </c>
      <c r="D156" s="24" t="s">
        <v>233</v>
      </c>
      <c r="E156" s="53">
        <f>23.956-0.325-1.176-1.075-4.722-1.18-0.54-3.651-0.545-1.505-1.787-0.529+4.119+4.103+4.108+4.124+3.751-0.11-0.54-0.103-0.436-0.001-0.86-0.095-1.075-3.259-4.103-2.73-0.965-0.375-0.626-0.206-0.19-0.285-0.316-0.206-0.105-0.095-0.212-0.106+20.007-0.32-1.623-0.105-0.361-0.275-0.908-0.091-0.105-1.815-4.124-0.286-0.812-0.272-0.095-0.095-0.095-3.071-0.28-0.099-0.015-0.071-0.47-0.09-0.091-1.035-3.964-0.725-0.18-0.185-0.09-0.27-0.095-0.002-0.425+0.02-1.5</f>
        <v>6.1140000000000052</v>
      </c>
      <c r="F156" s="25">
        <v>137500</v>
      </c>
    </row>
    <row r="157" spans="1:6">
      <c r="A157"/>
      <c r="B157" s="24" t="s">
        <v>234</v>
      </c>
      <c r="C157" s="24" t="s">
        <v>40</v>
      </c>
      <c r="D157" s="24" t="s">
        <v>233</v>
      </c>
      <c r="E157" s="53">
        <f>25.731-0.285+3.767+3.759+3.749+3.756+0.606-0.985+3.791-0.1-0.105-2.5-1.466-1.12-0.205-0.105-1.935+20.653-0.295-1.015-2.016-0.105-1.985-0.1-16.67+0.018-1.541-3.767-0.394-3.756-0.606-0.71-0.1-0.201-0.1-19.037-0.71-2.304-0.105-0.027-1.393-0.022-0.065+19.927-1.53-0.09-0.098-2.875-1.056-0.286-0.176-0.091-3.316-1.123-0.445-0.093-3.141-0.098-0.36-1.185-0.376-1.45</f>
        <v>2.1380000000000061</v>
      </c>
      <c r="F157" s="25">
        <v>151000</v>
      </c>
    </row>
    <row r="158" spans="1:6">
      <c r="A158"/>
      <c r="B158" s="24">
        <v>20</v>
      </c>
      <c r="C158" s="24" t="s">
        <v>123</v>
      </c>
      <c r="D158" s="24" t="s">
        <v>233</v>
      </c>
      <c r="E158" s="53">
        <f>19.744-0.125-0.125-8.52-0.5+38.504+12.074-1.38-0.128-0.128-0.249-6.289-0.38-0.75-0.631-1.005-0.251-0.373-0.625-1.505-1.255-0.125-0.042-0.535-0.251-0.38-0.631-0.125-0.5-0.25-0.127-0.63-0.63-0.38-0.507-0.747-0.625-0.38-0.85-0.125-0.23-0.02-0.63-0.25-9.694-0.125-0.625-1.125</f>
        <v>25.563999999999965</v>
      </c>
      <c r="F158" s="25">
        <v>137500</v>
      </c>
    </row>
    <row r="159" spans="1:6">
      <c r="A159"/>
      <c r="B159" s="26" t="s">
        <v>1060</v>
      </c>
      <c r="C159" s="24" t="s">
        <v>123</v>
      </c>
      <c r="D159" s="24" t="s">
        <v>233</v>
      </c>
      <c r="E159" s="53">
        <f>5</f>
        <v>5</v>
      </c>
      <c r="F159" s="25">
        <v>160000</v>
      </c>
    </row>
    <row r="160" spans="1:6">
      <c r="A160"/>
      <c r="B160" s="24" t="s">
        <v>234</v>
      </c>
      <c r="C160" s="24" t="s">
        <v>123</v>
      </c>
      <c r="D160" s="24" t="s">
        <v>233</v>
      </c>
      <c r="E160" s="53">
        <f>37.731-0.124+0.09-0.12-0.125-1.089-4.761-0.48-0.42-0.12-0.245-0.104-0.001-0.122-0.11-0.122-1.09-1.07-4.33-0.475-0.122-0.36-0.12-0.11-0.36-0.122-1.09-0.017-0.96-2.15-0.485-0.121-0.365-0.22+0.026-0.365+0.017-0.65-0.12-0.11-0.325-0.119-0.12-0.605-0.11-3.34-1.205-0.125-0.36-1.32-0.242-1.728</f>
        <v>5.5100000000000131</v>
      </c>
      <c r="F160" s="25">
        <v>142500</v>
      </c>
    </row>
    <row r="161" spans="1:6">
      <c r="A161"/>
      <c r="B161" s="24">
        <v>20</v>
      </c>
      <c r="C161" s="24" t="s">
        <v>892</v>
      </c>
      <c r="D161" s="24" t="s">
        <v>233</v>
      </c>
      <c r="E161" s="53">
        <f>3.55+3.52-0.125-2.005-1.525-1.42-0.135-0.44-0.045+2.41+2.51-2.016-0.505-1.41-0.394-2.024+0.019+0.035+3.515+3.57-3.515-3.57+21.059-0.436-1.76-0.145-0.15-2.335-0.73-5.854-9.649+1.046+3.265+3.252+1.353+0.124+3.575+3.11+1.649+3.278+0.112-3.575-3.11-3.278-0.42-3.265-3.252-0.112-1.046-1.353-1.229-0.133+0.009+4.532+4.532+4.531+4.523+2.165+1.029-0.14-0.56-0.14-0.415-0.69-0.55-1.029-1.38-0.55-4.531-4.13-0.97-1.067-0.173-0.14-0.14-0.135-0.27-1.535-0.535-0.415-0.113-0.027-0.82+20.253-0.525-0.02-0.145-0.28-0.145-2.56-1.286-1.715-3.43-1.57-5.985-0.57-0.43-0.145-1.565-0.14-0.285+20.055-0.985-0.282-0.841-7.01</f>
        <v>11.250999999999999</v>
      </c>
      <c r="F161" s="25">
        <v>137500</v>
      </c>
    </row>
    <row r="162" spans="1:6">
      <c r="A162"/>
      <c r="B162" s="24">
        <v>20</v>
      </c>
      <c r="C162" s="24" t="s">
        <v>41</v>
      </c>
      <c r="D162" s="24" t="s">
        <v>233</v>
      </c>
      <c r="E162" s="53">
        <f>13.805+18.933+0.65-0.16-0.658-3.93-0.495-0.165-0.49-0.165-0.335-2.45-0.175-0.65-5.358+4.455+4.454+4.453+2.163+4.458-0.326-0.168-0.16-0.162-0.322-0.165-1.54-0.92-5.037-0.166-0.813-0.47-2.46-0.16-0.165-0.17-0.008-0.31-0.166-0.166-0.153-0.002-1.07-0.166-0.3+0.008-0.49-0.164-0.16-0.98-0.146-0.004-0.33-0.15-0.165-0.153-0.655-0.166+0.089-1.545-0.155-0.165-3.25-0.15-0.83-0.155-1.015-0.925-0.31-3.09-0.15-0.31+20.285-1.363-0.032-0.142-0.148-0.16-0.282-0.146-1.992-1.574-0.153-1.418-0.572-0.286-1.365-0.572-1.14-0.428-0.572-0.714-0.165-0.426-0.276-1.995-0.145-1.992-0.287-4.977+0.024-0.143-0.007-0.495-0.012-0.33-0.165-0.98-0.495-0.14+0.065+3.854+1.202-0.008+15.38-1.847-0.165-0.485-0.165-0.16-19.17+31.346-0.16-1.45-0.8-0.16-0.64-1.765-0.64-0.159-0.16-3.841-2.88-1.278-0.16-0.316-0.32-0.171-1.434-0.16-0.645-1.125+0.008-0.16</f>
        <v>12.930000000000005</v>
      </c>
      <c r="F162" s="25">
        <v>137500</v>
      </c>
    </row>
    <row r="163" spans="1:6">
      <c r="A163"/>
      <c r="B163" s="24" t="s">
        <v>234</v>
      </c>
      <c r="C163" s="24" t="s">
        <v>41</v>
      </c>
      <c r="D163" s="24" t="s">
        <v>233</v>
      </c>
      <c r="E163" s="53">
        <f>19.327-0.465-0.155-0.15-0.305-4.4-4.402-0.3-0.76-3.922-0.759-0.013-0.76-0.55+20.008-0.626-0.616-0.156-2-0.148-0.47-1.225-0.145-3.704-0.13-0.464-0.123-0.299-0.612-1.074-0.16-1.082-1.086-1.232+2.903+0.145-0.155-0.145-1.165-0.44-0.59+18.224-1.67-0.91-1.98-2.621-0.76-0.46-0.312-0.795-0.265-0.155-0.156-0.155-1.06-0.15-0.15-0.155-0.155-0.76-2.456-0.46-0.15-0.61-0.156-0.77-0.61-0.6-0.3-0.155-0.46-0.61-3.01-0.3-0.306+0.04-0.15-0.15+19.909-0.15-0.15-0.31-1.09-0.31-0.625</f>
        <v>19.211000000000002</v>
      </c>
      <c r="F163" s="25">
        <v>142500</v>
      </c>
    </row>
    <row r="164" spans="1:6">
      <c r="A164"/>
      <c r="B164" s="24">
        <v>20</v>
      </c>
      <c r="C164" s="24" t="s">
        <v>784</v>
      </c>
      <c r="D164" s="24" t="s">
        <v>233</v>
      </c>
      <c r="E164" s="53">
        <f>2.74-1.43-1.19-0.12+2.7+2.71-0.425-0.285-0.57-0.705-0.29+2.76+2.76-1-0.15-0.13-0.142-2.63-2.76-0.565-1.278-0.012+0.012+4.85+4.82+1.745-0.15-0.995-0.855-0.15-0.875-1.01+3.48-0.29-1.005-0.27-0.67-0.14-0.135-0.555-2.935-0.935-1.005-0.135-0.775-0.035-0.145-0.27-0.125-0.685-0.15-0.285-0.06-0.205+3.44+3.44+3.95-0.43-0.72-0.285-0.282-0.28-0.3-0.435-0.155-0.71-0.135-0.285-0.42-0.425-0.14-2.59-0.14-0.44-0.435-0.295-0.29-1.265-0.175-0.258-0.022+0.06+21.934-0.55-0.37-7.119-0.555-1.1-4.025-0.365-0.365-0.18-0.167-1.275-1.285+20.754-1.46-0.18-0.175-0.18-0.175-1.81-1.465-1.255-1.07-0.36-0.185-0.18-0.18-0.185-1.255-0.18-0.895-2.147-0.028-11.995+22.008+5+0.13+0.66-2.69-2.038-15.077-3.477-1.363-0.16-0.27-2.1-0.623+21.657-0.18-21.477</f>
        <v>0</v>
      </c>
      <c r="F164" s="25">
        <v>159000</v>
      </c>
    </row>
    <row r="165" spans="1:6">
      <c r="A165"/>
      <c r="B165" s="24">
        <v>20</v>
      </c>
      <c r="C165" s="24" t="s">
        <v>184</v>
      </c>
      <c r="D165" s="24" t="s">
        <v>233</v>
      </c>
      <c r="E165" s="53">
        <f>46.467-2.325-0.19-1.162+0.19-1.364-0.385-1.17-1.975-0.59-4.747-4.746-0.985-4.746-4.269-0.485-4.754-4.752-1.58-0.795-0.19-0.005-2.196-1.205-1.355-0.411-0.164-0.036+4.168+4.177+4.178+2.79+1.143+4.175-2.62-4.177-4.178-4.175-0.17-0.38-0.543-0.39-1.735-1.728-0.315-0.035-0.185-0.075+4.12+4.122+4.12+4.122+0.663+3.093+4.119+4.12+4.12-1.03-0.17-0.345-0.515-0.335-0.17-0.52-0.671-2.075-3.25-0.685-0.175-0.17-0.69-18.034-0.175-0.143-0.011-0.004-0.012-0.345-0.165-1.92-0.515-0.34-0.175+0.041+50.811-0.174-2.077-0.38-3.775-0.57-0.57-0.945-0.95-0.194-0.751-0.94-2.81-0.19-0.19-1.14-0.16-0.41-0.76-2.26-0.57-0.38-0.19-20.19-0.19-1.13-0.95-0.19-0.19-0.163-0.555-0.227-0.38-0.19+20.873-1.31-0.76-0.195-1.13-0.775-0.195-0.195-0.195-0.38-0.195-0.19-0.19-0.67-0.09-1.36-0.58+4.52-0.19+16.904-0.775-0.39-0.19-0.945-0.263-0.307-0.19-0.01-0.575-0.19-3.381+0.01-4.503-4.512-1.125-1.115-3.87-0.948-0.58-0.381-0.199-0.202-0.188-0.77-0.575-13.6+0.017+21.633-0.38-8.162-11-0.57-0.19+0.18-0.765-0.19</f>
        <v>0.56600000000000095</v>
      </c>
      <c r="F165" s="25">
        <v>137500</v>
      </c>
    </row>
    <row r="166" spans="1:6">
      <c r="A166"/>
      <c r="B166" s="24" t="s">
        <v>234</v>
      </c>
      <c r="C166" s="24" t="s">
        <v>184</v>
      </c>
      <c r="D166" s="24" t="s">
        <v>233</v>
      </c>
      <c r="E166" s="53">
        <f>4.234-0.576-0.145-0.852-2.118-0.148+2.54+2.52-1.55-0.135-0.28-0.425-0.715-0.86-0.26-0.02-0.425+2.695+2.685-0.144-0.28-0.143-0.002-0.106-2.695-2.22-0.51+0.045-0.13+0.02+2.45+2.9-0.155-2.45-2.485-0.29+0.03+2.72+2.74-0.84-0.43-0.165-0.72-0.44-0.16-0.86-0.3-0.145-0.145+2.1+2.63+0.5-0.13-0.3-0.145-0.145-0.16-1.71-1.98-0.14+16.96+3.384-0.285-0.12-0.1-0.09-1.695-3.391+0.007-0.19-0.27-2.465-0.38-0.145-0.25-1.13-0.125-0.19-0.19-0.26+20.507-0.015-0.115-0.945-0.165-0.851-1.71-0.35-0.34-0.175-0.34-1.505-1.03-0.95-0.17-0.17-0.506-0.172-2.585-4.947-7.141-4.961-1.525-0.325-0.007+20.362-6.908-0.572-13.239+2.215+8.882-4.437-4.445-2.215+20.901-0.585-0.195+20.141-0.195-0.185-0.19-11.063-1.156</f>
        <v>27.472999999999999</v>
      </c>
      <c r="F166" s="25">
        <v>142500</v>
      </c>
    </row>
    <row r="167" spans="1:6">
      <c r="A167"/>
      <c r="B167" s="24">
        <v>20</v>
      </c>
      <c r="C167" s="24" t="s">
        <v>323</v>
      </c>
      <c r="D167" s="24" t="s">
        <v>233</v>
      </c>
      <c r="E167" s="53">
        <f>27.437-0.32-0.475-0.475-0.32-0.432-4.07-0.18-0.432-0.644-0.32-0.955-0.216-8.502-0.165-0.216-0.426-0.43-0.17-0.16-1.288-0.16-0.16-0.16-0.44-0.04-0.82-0.426-0.18-0.44-1.925-0.175+0.035-0.86+17.407-0.643-0.225-4.428-4.403-4.423-1.15-0.46+3.476-0.43-0.216+0.039-0.235-0.23-3.476-0.455-0.16-0.47-0.235+0.402+4.248+4.661+6.491+4.285-0.224-0.382-0.226-0.225-0.458-0.226-0.48-2.486-5.162-0.225-3.21-0.235-0.402-0.455-0.448-2.903-0.225-0.442+0.011-0.914-0.445-0.676+0.017+30.922-0.685-1.6-1.37-0.91-0.23-0.46-0.46-0.22-0.23-0.685-0.214-0.016-0.23-0.46-0.23-0.23+0.091-0.46-0.23-0.69-0.69-0.23-0.46-1.179-0.625-4.323-0.246-0.46-0.23+20.075-0.23-0.92-2.06-0.46-1.15-0.832-0.246-0.977-0.23-0.23-1.6-2.06-0.23-0.46-0.213-0.017-1.139-0.46-0.46-0.23-0.46-0.23-0.23-18.441+0.171+21.344-0.46-4.352-4.37-2.755-1.146-0.23+20.18-0.69-0.23-0.23-0.225-0.005-0.23-2.06-2.53-0.69-0.23-0.46-0.23-0.451-0.224-0.006-0.69-2.984-0.23-0.219-0.241-0.23</f>
        <v>15.205999999999984</v>
      </c>
      <c r="F167" s="25">
        <v>137500</v>
      </c>
    </row>
    <row r="168" spans="1:6">
      <c r="A168"/>
      <c r="B168" s="24" t="s">
        <v>234</v>
      </c>
      <c r="C168" s="24" t="s">
        <v>323</v>
      </c>
      <c r="D168" s="24" t="s">
        <v>233</v>
      </c>
      <c r="E168" s="53">
        <f>4.67-0.525-1.555+2.83+2.67+0.14-0.14-0.315-0.17-0.345-0.32-0.785-0.63-2.045-0.62-0.35-0.48-0.33-0.195-0.525-0.345-0.365-0.34+0.07+2.62+2.51+0.24+0.25-0.255-0.125-0.125-0.126-2.62-2.005-0.255+0.015-0.125+0.001+0.14+5.13-1.245-0.155-0.16-0.305-0.16-1.71-0.46-0.775-0.165+0.005+0.45+0.15+4.21-0.16+17.274+1.819-0.228-1.59-0.455-0.685-2.275-0.635-0.16-0.455-0.15-0.01-2.812-0.236-0.23-0.228-0.156-0.908+0.011-9.344+21.315-0.155-1.114-0.675-0.225-0.895-0.23-1.8-4.232-0.225-0.897-0.435-0.225-0.68-0.45-0.675-1.805-0.45-0.45-2.03-0.225-0.897-0.455-0.407-0.043-0.14-0.16-0.225-0.45-0.225-0.215-0.008-0.227+4.915-0.225-0.68-0.45</f>
        <v>6.8870000000000013</v>
      </c>
      <c r="F168" s="25">
        <v>152500</v>
      </c>
    </row>
    <row r="169" spans="1:6">
      <c r="A169"/>
      <c r="B169" s="24">
        <v>20</v>
      </c>
      <c r="C169" s="24" t="s">
        <v>324</v>
      </c>
      <c r="D169" s="24" t="s">
        <v>233</v>
      </c>
      <c r="E169" s="53">
        <f>1.96+0.71+2.51-0.71-2.51-0.175-1.79+0.005+5.4-5.4+5.4-0.37-0.19-2.14-0.545-0.19-1.26-0.36-0.36+0.015+1.255+3.84+5.07-0.184-2.765-0.225-0.723-0.215-0.44-0.548-0.215-0.215-0.215+0.42-1.282-0.425-1.645-0.215-0.22-0.16-0.065+0.207-0.728+0.04-0.21-0.21+0.003+0.07+2.95+2.96-0.176-0.52-0.522-0.178-0.176-0.174-0.698-0.178-0.52-1.045-0.525-0.698-0.328-0.196+0.024+4.518+4.479+0.519+0.433+2.373+4.551+4.476-0.96-0.71-4.518-1.17-0.235-0.24-0.519-0.941-0.24-1.17-0.01-0.71-2.13-0.439-0.041-0.44+0.048+4.398+4.402+4.399+3.705+4.406-0.25-0.23+0.23-0.71-0.465-0.695-0.235-0.24-0.24-0.465-1.16-0.49-1.2-0.96-0.72-0.235-0.485-0.45-0.235-0.73-0.235-0.106-0.245-0.24-0.465-0.465-1.39-0.23-0.468-1.378-0.93-0.93-0.23-0.23-0.465-0.465-0.235</f>
        <v>9.5620000000000012</v>
      </c>
      <c r="F169" s="25">
        <v>147500</v>
      </c>
    </row>
    <row r="170" spans="1:6">
      <c r="A170"/>
      <c r="B170" s="24">
        <v>20</v>
      </c>
      <c r="C170" s="24" t="s">
        <v>325</v>
      </c>
      <c r="D170" s="24" t="s">
        <v>233</v>
      </c>
      <c r="E170" s="53">
        <f>12.366-0.15-0.57-0.285-0.306-0.285-0.3+19.972-0.565-2.05-0.57-0.605-3.104-0.91-0.285-0.285-0.155-1.59-0.76-1.14-1.14-0.285-0.246-0.577-0.022-2.045-0.673-0.012</f>
        <v>13.422999999999998</v>
      </c>
      <c r="F170" s="25">
        <v>147500</v>
      </c>
    </row>
    <row r="171" spans="1:6">
      <c r="A171"/>
      <c r="B171" s="24" t="s">
        <v>234</v>
      </c>
      <c r="C171" s="24" t="s">
        <v>325</v>
      </c>
      <c r="D171" s="24" t="s">
        <v>233</v>
      </c>
      <c r="E171" s="53">
        <f>4.71-0.7-0.355-0.36-1.24-0.525-0.18-0.34-0.15-0.69-0.175+0.005+2.6+2.8+0.16-2.075-0.525-1.05-0.175-0.36-0.525-0.18-0.16-0.525+0.015+2.61-0.56+0.52+2.8-0.352-1.125-0.748-0.925-0.374-0.564-0.38-0.168-0.016-0.19-0.565+0.037+2.42+2.77+0.34+5.07-0.175-1.032-1.047-1.37-0.195-0.174-1.046-0.2-0.4-0.78-0.19-0.195-0.39-0.862-0.177-0.51-0.765-0.34+4.718-0.195-0.49-0.47-0.235-0.23</f>
        <v>3.8499999999999956</v>
      </c>
      <c r="F171" s="25">
        <v>157000</v>
      </c>
    </row>
    <row r="172" spans="1:6">
      <c r="A172"/>
      <c r="B172" s="24">
        <v>20</v>
      </c>
      <c r="C172" s="24" t="s">
        <v>326</v>
      </c>
      <c r="D172" s="24" t="s">
        <v>233</v>
      </c>
      <c r="E172" s="53">
        <f>5.5-1.755-0.67-0.666-0.215-0.228-0.443-0.44+5.2-1.95-0.22-0.216-0.65-0.435-0.23-0.22-0.216-0.22-0.435-0.656-0.225-0.23-0.22-0.205+0.032+0.013+6.49-0.955-0.96-1.445-1.93-0.485-0.73+0.015+5.06-0.195-0.195-0.96-3.515-0.195+8.947-0.615-0.815-0.61-0.202-0.205-0.2-0.21-0.615-0.202-0.42-0.205</f>
        <v>4.647999999999997</v>
      </c>
      <c r="F172" s="25">
        <v>147500</v>
      </c>
    </row>
    <row r="173" spans="1:6">
      <c r="A173"/>
      <c r="B173" s="24" t="s">
        <v>234</v>
      </c>
      <c r="C173" s="24" t="s">
        <v>326</v>
      </c>
      <c r="D173" s="24" t="s">
        <v>233</v>
      </c>
      <c r="E173" s="53">
        <f>5.131-1.41-1.91</f>
        <v>1.8110000000000002</v>
      </c>
      <c r="F173" s="25">
        <v>157000</v>
      </c>
    </row>
    <row r="174" spans="1:6">
      <c r="A174"/>
      <c r="B174" s="24">
        <v>20</v>
      </c>
      <c r="C174" s="24" t="s">
        <v>327</v>
      </c>
      <c r="D174" s="24" t="s">
        <v>233</v>
      </c>
      <c r="E174" s="53">
        <f>4.97-0.265-0.24-4.56+0.095+5.345+0.265-0.265-0.24-0.51-0.785-0.255-0.26+4.885+0.51-0.26-0.275-4.39-2.76-0.315-0.18-0.51+0.765-0.255-0.51+3.99+2.97+2.77-1.075-3.99-1.28-0.415-0.01-0.21-1.065-1.7+0.015+5.08-0.912+3.42+1.6-0.46-2.96-1.6-3.09+4.99-1.08+0.002-0.565-0.25-0.285-0.28-0.28-0.28+2.745+1.43+3.005+4.47+2.675+2.995-1.12-0.838-0.267-0.285-3.005-1.61-1.376-1.785-2.995-0.428-0.275-0.265-0.03-0.81-0.555-0.27-0.246+0.015-1.08-0.55+10.198-4.08-1.705-0.345-1.05-2.375+4.945+4.745+0.705-0.24-2.385+3.09+2.17-1.655-0.27+0.163-4.475-0.905-0.27-0.23-2.65-0.22-1.02-0.235-0.22-0.69-2.17-0.275-0.005+0.017</f>
        <v>1.157999999999999</v>
      </c>
      <c r="F174" s="25">
        <v>147500</v>
      </c>
    </row>
    <row r="175" spans="1:6">
      <c r="A175"/>
      <c r="B175" s="24">
        <v>20</v>
      </c>
      <c r="C175" s="24" t="s">
        <v>328</v>
      </c>
      <c r="D175" s="24" t="s">
        <v>233</v>
      </c>
      <c r="E175" s="53">
        <f>0.922+3.986-1.77+0.007-0.92+2.83-0.927-0.002-0.378-0.002-0.387-0.145-0.078-0.08-0.468+0.026-2.632+0.025+2.7+0.87-0.072-0.16+1.026+3.324-0.085-0.495-0.235-0.16-0.47-0.605-0.007-1.825+1.185-0.15-0.96-0.52-0.085-0.08+0.019+0.016+0.007+0.21+0.43-0.43-0.07-0.007-0.83-1.18-0.07-0.07+0.007-0.64-0.116-0.158-0.232-0.007+2.38+2.6-2.286-2.6-0.076-0.018+2.215+1.985+1.985+0.8-0.556-0.155-0.16-0.085-0.23-0.09-0.035-0.31-1.185-0.175-1.985-0.075</f>
        <v>2.0259999999999989</v>
      </c>
      <c r="F175" s="25">
        <v>171000</v>
      </c>
    </row>
    <row r="176" spans="1:6">
      <c r="A176"/>
      <c r="B176" s="24">
        <v>20</v>
      </c>
      <c r="C176" s="24" t="s">
        <v>329</v>
      </c>
      <c r="D176" s="24" t="s">
        <v>233</v>
      </c>
      <c r="E176" s="53">
        <f>13.089-0.07-0.552-0.07-0.074-0.08-0.172-1.432-1.051+4.855+4.845-0.06+4.865+4.87-2.015-1.17-0.02-2.375-0.07-0.07+0.41+0.33-0.08-0.87-0.21-4.845-4.3-1.025-1.225-0.15-0.085-0.87-0.48-0.16-0.42-0.15-3.68-0.81-0.255-0.46-0.18+0.04+0.1+2.6-1.71-1.881-0.243-0.045-0.515-0.08-1.32+9.974-0.1-0.2-0.516-1.86-0.674-1.86-1.86-1.86-0.07-0.165-0.045-0.1-0.3+0.67-0.06-0.599-0.41-0.66+0.021+21.656-0.255-0.685-0.2-0.1-0.095-0.325-1.06-4.79-1.105-4.075-1.112-0.096-0.19-7.485-0.083+20.94-0.3-0.2-0.78-1.175-0.99-0.3-0.2-0.1-0.2-0.29-0.48-0.2</f>
        <v>15.725000000000009</v>
      </c>
      <c r="F176" s="25">
        <v>152500</v>
      </c>
    </row>
    <row r="177" spans="1:6">
      <c r="A177"/>
      <c r="B177" s="24" t="s">
        <v>234</v>
      </c>
      <c r="C177" s="24" t="s">
        <v>329</v>
      </c>
      <c r="D177" s="24" t="s">
        <v>233</v>
      </c>
      <c r="E177" s="53">
        <f>1.568+3.594-0.145-0.61-2.52-0.28-0.075-0.09-0.075-0.154-0.246-0.967</f>
        <v>0</v>
      </c>
      <c r="F177" s="25">
        <v>169000</v>
      </c>
    </row>
    <row r="178" spans="1:6">
      <c r="A178"/>
      <c r="B178" s="24">
        <v>20</v>
      </c>
      <c r="C178" s="24" t="s">
        <v>330</v>
      </c>
      <c r="D178" s="24" t="s">
        <v>233</v>
      </c>
      <c r="E178" s="53">
        <f>0.349+2.468+2.458-2.468-1.542-0.085-0.098-0.19+0.596+4.704-0.095-1.8-0.18-0.095-0.267+0.001-0.267-0.089-0.002-0.18-0.97-0.27-0.185-0.46+0.012-0.44+2.07+1.02+2.176-0.035-0.596-0.045-0.19-0.19-1.315-1.02-0.095-0.185-0.845-0.19-0.765-0.281-0.109+4.27+4.25-0.775-0.255-0.085-0.35-0.34-0.345-1.535-0.175-0.685-1.535-0.35-0.18-0.081-0.395-1.515-0.214-0.015+0.015+4.9-0.105+0.09-2.555-0.85-1.51+0.015+2.72+2.125-0.652+0.505+1.41+0.21-0.532-1.362+4.98+4.92-1.358-0.276-0.094-0.53-0.505-0.106-0.334+18.191+1.833-0.092-0.235-0.225-0.35-0.332-0.115-0.35-0.23-0.1-0.115-0.11-0.438-0.48-1.17-0.108-0.21-0.12-0.34-0.8-4.349-0.46-0.44-0.115-0.57-0.115-0.11+0.007-0.805-4.579-0.118-0.8-0.69-0.23-0.345+0.345-0.23-0.115-0.227-0.003-0.079-0.036-0.055-1.53-0.68-0.46-1.05</f>
        <v>7.3859999999999948</v>
      </c>
      <c r="F178" s="25">
        <v>137500</v>
      </c>
    </row>
    <row r="179" spans="1:6">
      <c r="A179"/>
      <c r="B179" s="24" t="s">
        <v>234</v>
      </c>
      <c r="C179" s="24" t="s">
        <v>330</v>
      </c>
      <c r="D179" s="24" t="s">
        <v>233</v>
      </c>
      <c r="E179" s="53">
        <f>2.306+2.824-2.306-1.765+2.71+2.28-0.27-0.735-0.095-0.265-0.095-2.28-0.18-0.09-1.345-0.095-0.09-0.18-0.08-0.26+0.011</f>
        <v>6.5572547391923308E-16</v>
      </c>
      <c r="F179" s="25">
        <v>169000</v>
      </c>
    </row>
    <row r="180" spans="1:6">
      <c r="A180" s="67"/>
      <c r="B180" s="28">
        <v>10</v>
      </c>
      <c r="C180" s="24" t="s">
        <v>331</v>
      </c>
      <c r="D180" s="24" t="s">
        <v>233</v>
      </c>
      <c r="E180" s="53">
        <f>1.863+0.06</f>
        <v>1.923</v>
      </c>
      <c r="F180" s="25">
        <v>137500</v>
      </c>
    </row>
    <row r="181" spans="1:6">
      <c r="A181"/>
      <c r="B181" s="24">
        <v>20</v>
      </c>
      <c r="C181" s="24" t="s">
        <v>1092</v>
      </c>
      <c r="D181" s="32" t="s">
        <v>930</v>
      </c>
      <c r="E181" s="53">
        <f>0.085</f>
        <v>8.5000000000000006E-2</v>
      </c>
      <c r="F181" s="102">
        <v>143000</v>
      </c>
    </row>
    <row r="182" spans="1:6">
      <c r="A182"/>
      <c r="B182" s="24">
        <v>20</v>
      </c>
      <c r="C182" s="24" t="s">
        <v>331</v>
      </c>
      <c r="D182" s="24" t="s">
        <v>233</v>
      </c>
      <c r="E182" s="53">
        <f>4.122-0.102-0.245-0.35-0.12-0.235+4.6-1.43-0.65-0.545-0.11-0.66-0.11-0.45-0.115-0.095-0.445-0.102-0.11-1.406-0.33+0.016-0.45-0.245-0.115-0.115-0.115-0.003-0.112+0.027+4.6+4.86-0.99+0.675-0.115-3.1-0.34-1.57+2.23-0.714+4.93-0.805-0.196-0.21-0.105-1.42-0.605-1.16+0.125-0.21-2.215-0.3-0.225-0.479-1.24-0.175-0.025+0.024-0.015-1.055-0.15+0.06+4.035+4.195-1.216-0.33-0.668-1.54-0.102-1.744-1-0.114-1.005-0.228+22.228-3.065-2.085-0.56-1.4-0.968-0.114-0.104-0.014-0.118-0.126-0.7-0.975-0.14-1.11-0.975-4.724-0.84-0.14-0.555-1.53+3.718+3.925+3.913+2.371+3.694+2.371-0.12-0.085-0.6+8.923+2.688+9.014-0.98-0.72-1.465-0.126-0.12-0.355-0.12-0.48-0.12-0.72-8.923-2.688-8.893-0.112+0.005+0.061-1.373-1.651-3.694-2.371-3.718-2.365+20.524-0.14-0.545-2.731-0.14-2.455-0.405-0.141-0.14-1.905-0.14-0.135-0.135-0.275-0.41-0.14-0.137-0.271-0.275-0.14-0.275-0.131-0.004-0.275-0.275-0.402-0.188-1.32-0.135</f>
        <v>8.0960000000000019</v>
      </c>
      <c r="F182" s="25">
        <v>137500</v>
      </c>
    </row>
    <row r="183" spans="1:6">
      <c r="A183"/>
      <c r="B183" s="24" t="s">
        <v>234</v>
      </c>
      <c r="C183" s="24" t="s">
        <v>331</v>
      </c>
      <c r="D183" s="24" t="s">
        <v>233</v>
      </c>
      <c r="E183" s="53">
        <f>0.22+4.955-0.11+1.649-0.115+0.794-0.545-0.116-0.116-0.118-0.444-0.222-4.295-0.126-1.205-0.222+0.016+2.635+2.52-0.115-0.785-0.115-2.52-1.62+19.473-0.956-0.416-2.722-0.138-0.41-0.685-0.546-0.14-0.273-2.04-4.085-3.531-0.68-0.275-0.276-0.14-0.138-0.826-1.1-0.135+0.039</f>
        <v>-2.1441182163073336E-15</v>
      </c>
      <c r="F183" s="25">
        <v>169000</v>
      </c>
    </row>
    <row r="184" spans="1:6">
      <c r="A184"/>
      <c r="B184" s="24">
        <v>20</v>
      </c>
      <c r="C184" s="24" t="s">
        <v>332</v>
      </c>
      <c r="D184" s="24" t="s">
        <v>233</v>
      </c>
      <c r="E184" s="53">
        <f>32.909-0.176-0.136-0.034-3.161-4.504-0.5-0.835-3.726-1.165-0.335-0.5-0.17+0.042-0.165-0.33-0.85-0.85-0.85-0.659-0.17-0.505-0.186-0.154-0.001-0.672-4.504-3.137-0.175-0.331-0.17-0.301-0.51</f>
        <v>3.1889999999999965</v>
      </c>
      <c r="F184" s="25">
        <v>137500</v>
      </c>
    </row>
    <row r="185" spans="1:6">
      <c r="A185"/>
      <c r="B185" s="24" t="s">
        <v>234</v>
      </c>
      <c r="C185" s="24" t="s">
        <v>332</v>
      </c>
      <c r="D185" s="24" t="s">
        <v>233</v>
      </c>
      <c r="E185" s="53">
        <f>3.6-0.135-0.135-0.135-0.135-0.8-0.405-0.905-0.405-0.545+4.91-1.085-0.41-1.37-0.133-0.145-1.84+0.073+2.68+2.68-0.545-0.27-0.675-0.27-0.795+0.26-0.535+4.9+1.63-0.135-0.88-0.125-0.125-0.135-0.13-0.51-0.63-1.77-0.98-0.26-1.12-0.045-0.13-1.52-0.26-0.085-0.17+2.57+1.09+3.94+0.1+0.24-0.72+0.25-0.24-0.002-0.958-0.122-0.478-0.476-0.244-0.6-0.857-0.372-1.584-0.476-0.24+3.843+3.843+3.835+3.842+3.836-0.49-0.645-3.842-2.73-3.836-0.165-2.245-0.364-0.16-0.165-0.05-0.006-0.069+0.018+1.588-2.25-0.783-0.022-0.475-1.42-0.505+0.059-0.162-0.162-0.796+0.007-0.125-0.125+4.895-0.38</f>
        <v>4.6650000000000018</v>
      </c>
      <c r="F185" s="25">
        <v>164000</v>
      </c>
    </row>
    <row r="186" spans="1:6">
      <c r="A186"/>
      <c r="B186" s="24">
        <v>20</v>
      </c>
      <c r="C186" s="24" t="s">
        <v>333</v>
      </c>
      <c r="D186" s="24" t="s">
        <v>233</v>
      </c>
      <c r="E186" s="53">
        <f>12.753-1.034-0.415-1.03-0.398-0.215+3.901+3.898+3.9+2.456+3.904+3.903-0.2-0.21-0.85-1.46-0.415-0.045-1.01-0.215-0.42-0.85-1.05-0.03-0.145-0.42+0.071+0.037-2.058-2.258-0.391-0.205-0.205-0.4-0.2-1.03-3.904-0.205-0.2-0.43-0.205-0.21-1.643-0.183-0.412-0.013-0.82+8.217+12.298-1.03-0.41-0.21-0.62-0.21-0.42-1.03-0.41-20.711+0.028-0.615-2.055-1.231-0.004-0.41-0.404-0.007+20.086-0.205-0.41-1.025-1.025-0.41-0.615-0.205-0.615-1.025+17.349+4.204-2.665-2.055-0.434-0.197-0.194-1.435-2.26-0.41-2.05-0.41-0.205-0.405-3.585-0.837-0.205-2.474-0.21-0.425-0.42-0.635-0.42-0.21-0.84-0.233-0.827-0.204-0.215</f>
        <v>11.848999999999993</v>
      </c>
      <c r="F186" s="25">
        <v>137500</v>
      </c>
    </row>
    <row r="187" spans="1:6">
      <c r="A187"/>
      <c r="B187" s="26" t="s">
        <v>1060</v>
      </c>
      <c r="C187" s="24" t="s">
        <v>333</v>
      </c>
      <c r="D187" s="24" t="s">
        <v>233</v>
      </c>
      <c r="E187" s="53">
        <f>14.54-0.6-0.2-3.165-5.11-2.385+0.016</f>
        <v>3.0959999999999992</v>
      </c>
      <c r="F187" s="25">
        <v>137500</v>
      </c>
    </row>
    <row r="188" spans="1:6">
      <c r="A188"/>
      <c r="B188" s="24" t="s">
        <v>234</v>
      </c>
      <c r="C188" s="24" t="s">
        <v>333</v>
      </c>
      <c r="D188" s="24" t="s">
        <v>233</v>
      </c>
      <c r="E188" s="53">
        <f>4.82+0.49-0.325-0.165-0.17-1.52-0.165-0.17-1.175-0.83-0.165-0.33+4.945-0.295-0.04</f>
        <v>4.9050000000000002</v>
      </c>
      <c r="F188" s="25">
        <v>152500</v>
      </c>
    </row>
    <row r="189" spans="1:6">
      <c r="A189"/>
      <c r="B189" s="24">
        <v>20</v>
      </c>
      <c r="C189" s="24" t="s">
        <v>334</v>
      </c>
      <c r="D189" s="24" t="s">
        <v>233</v>
      </c>
      <c r="E189" s="53">
        <f>2.62-0.52-0.53-0.7-0.185-0.52-0.19+0.025+4.91+5.07+4.15+2.55+0.34+1.23-1.23-4.15-2.55-0.34-3.98-0.19-5.07+0.16-0.16-0.74+5.2+1.43+2.175+2.35-2.35-1.43-5.03+1.05-0.175+0.005-2.175-1.05+0.33+3.14-3.14+2.36+3.33-1.225-1.636-0.18-1.05-1.929+4.93-1.22+2.67+2.32+0.35-1.42-1.43-1.585-0.185-1.25-1.935-1.245+18.797-0.235-12.122-1.155-1.38-0.235-2.31-1.36+20.716-0.93-1.16-0.23-0.235-1.39-0.235-1.16-3.231-0.92-0.69-0.235-0.24-4.371-1.38-0.235-0.7-0.7-0.218-0.012-0.23+20.116-1.16-0.46-0.22-0.235-0.192-0.043-1.565+0.665-0.46-0.236-0.221-7.119-0.451-2.021-0.434-0.009-0.017-0.226</f>
        <v>7.9259999999999993</v>
      </c>
      <c r="F189" s="25">
        <v>137500</v>
      </c>
    </row>
    <row r="190" spans="1:6">
      <c r="A190"/>
      <c r="B190" s="24" t="s">
        <v>234</v>
      </c>
      <c r="C190" s="24" t="s">
        <v>334</v>
      </c>
      <c r="D190" s="24" t="s">
        <v>233</v>
      </c>
      <c r="E190" s="53">
        <f>3.32-3.32+3.91+0.98-4.89+20.463-0.7-0.23-1.38-0.69+1.38-3.02-1.741-0.244-0.23-2.08-1.255-0.499-2.501-2.3+0.484-0.235-0.305-0.33-0.92</f>
        <v>3.6669999999999998</v>
      </c>
      <c r="F190" s="25">
        <v>161000</v>
      </c>
    </row>
    <row r="191" spans="1:6">
      <c r="A191"/>
      <c r="B191" s="24">
        <v>20</v>
      </c>
      <c r="C191" s="24" t="s">
        <v>335</v>
      </c>
      <c r="D191" s="24" t="s">
        <v>233</v>
      </c>
      <c r="E191" s="53">
        <f>20.437-0.29-0.28-0.57-0.283-0.57-4.53-1.135-0.28-1.984-0.001+4.596+2.296+4.589+4.596+4.599-0.58-0.29-0.29-0.585-0.56-0.56-0.57-0.29-0.844-0.006-1.755-0.595-0.57-1.735-0.29+1.735-0.285-0.836-0.293-1.15-0.282-0.28-2.27-0.58-0.285-1.125-0.015-0.755+0.185-0.575-0.848-0.003-1.44-2.015-2.296-0.57-0.282+0.1-0.29-0.29+20.877-0.86-1.15-0.271-0.585-0.575-0.29-0.575-2.01-3.174-13.92+30.924-0.29+13.92-3.15-0.263-0.58-1.161-0.553-0.027-0.006-0.284-0.29-0.58-0.29-0.267-0.023-0.58-1.16-0.577-0.87-0.58-2.615-4.644-0.605-0.84</f>
        <v>29.001000000000026</v>
      </c>
      <c r="F191" s="25">
        <v>147500</v>
      </c>
    </row>
    <row r="192" spans="1:6">
      <c r="A192"/>
      <c r="B192" s="24">
        <v>20</v>
      </c>
      <c r="C192" s="24" t="s">
        <v>336</v>
      </c>
      <c r="D192" s="24" t="s">
        <v>233</v>
      </c>
      <c r="E192" s="53">
        <f>9.7-1.365-1.08-0.226-0.455-0.65-0.675-0.216-1.58-0.71-1.08-0.22-0.225-0.23-0.216-0.168-0.057-0.347-0.298+0.098+0.45+4.34+0.23+2.335+2.975-0.45-1.36-0.505-0.23-2.11-2.98-1.235-0.515-0.5-0.22-0.285+0.06+2.69+2.69-1.1-0.46-1.13-0.225+5.11-0.225-0.01-0.44-1.79-5.11+3.322+3.821+0.274+2.23+3.817+3.819+3.823-0.645-2.23-0.325-0.274-0.325-1.27-0.64-0.616-0.62-1.525-0.3-0.877-0.325-0.32-0.315-0.95-0.32-0.955-0.32-0.953-3.504-0.315+3.767+3.769+1.186+3.767+3.765+3.77-1.186-0.625-0.32-0.32-0.625-0.945-0.32-0.625-1.285-0.32-1.262-0.315-1.89-0.64-1.275-0.315-0.32-0.63-0.3-0.305-0.015-3.135-0.32-1.25-0.31-0.302-0.318-1.57-0.315-0.315-0.315-0.315-0.621-0.014-0.305+0.037+10.214-1.14-9.074+19.659-0.315-0.315-0.315+19.642-2.22-0.315+2.244-1.27-1.57-0.28-1.262-0.94-0.318-0.002-2.19-0.32-0.32</f>
        <v>29.592999999999986</v>
      </c>
      <c r="F192" s="25">
        <v>147500</v>
      </c>
    </row>
    <row r="193" spans="1:6">
      <c r="A193"/>
      <c r="B193" s="24">
        <v>20</v>
      </c>
      <c r="C193" s="24" t="s">
        <v>337</v>
      </c>
      <c r="D193" s="24" t="s">
        <v>233</v>
      </c>
      <c r="E193" s="53">
        <f>7.459-0.25-0.242-0.49-2.18-0.19-0.966-0.96-0.243-0.485-0.255+4.59+0.24-0.24-0.26-1.205-0.93-0.009-0.036-0.235-0.245-0.485-0.24-0.245-0.24-0.24-0.24+4.83-0.255-0.31-0.605-3.335-0.965-0.6+0.042+0.02+8.425-0.555-2.875-1.14-2.52-1.415+0.08+0.565-0.565+5.16-3.745+5.16-0.74-1.96-1.17-0.98-0.99-0.245-0.49+3.92-0.295-1.205+6.015-1.205-1.814-0.906-1.805-0.61-0.605-0.606-0.91+0.026+5.08-1.158-2.076-1.16+3.045+3.005-0.464-1.805-0.038-0.94-2.105-1.21+0.01-0.19+0.006+5.502+5.82-0.325-0.33-1.635+15.106-1.29-0.325-0.98-0.65-0.325-0.65-1.63-0.595-0.055-0.325-0.325-0.33-0.326-0.33</f>
        <v>16.00200000000001</v>
      </c>
      <c r="F193" s="25">
        <v>147500</v>
      </c>
    </row>
    <row r="194" spans="1:6">
      <c r="A194"/>
      <c r="B194" s="24">
        <v>20</v>
      </c>
      <c r="C194" s="24" t="s">
        <v>338</v>
      </c>
      <c r="D194" s="24" t="s">
        <v>233</v>
      </c>
      <c r="E194" s="53">
        <f>3.3+3.52-3.52-0.944-0.948-0.236-1.172+4.65-1.11-0.755-1.58+3.23+1.52+1.88+0.76+1.26+1.38-1.64-1.158-0.51-0.76-0.25+3.24+3.25+1.51+1.23-1.515-1-0.73-0.915-1.012-0.23+0.008-1.95-0.19-1.3-0.705-0.79-0.24-0.25-0.285+0.025-1.51-0.645-0.975-0.375-0.33-1.23+10.078-1.946-0.003-1.947-0.78-2.325+5.136-0.39-0.325-0.64-2.7+0.01+0.22+5.17-0.22-1.74+0.531-1.97-0.738-0.49</f>
        <v>4.9339999999999957</v>
      </c>
      <c r="F194" s="25">
        <v>147500</v>
      </c>
    </row>
    <row r="195" spans="1:6">
      <c r="A195"/>
      <c r="B195" s="24" t="s">
        <v>234</v>
      </c>
      <c r="C195" s="24" t="s">
        <v>338</v>
      </c>
      <c r="D195" s="24" t="s">
        <v>233</v>
      </c>
      <c r="E195" s="53">
        <f>0.97-0.735+2.49+2.76-1.52-2.02-0.74-0.235-0.74-0.02-0.255+0.045+5.95+4.4-10.35+1.37-0.28-0.85-0.24</f>
        <v>0</v>
      </c>
      <c r="F195" s="25">
        <v>170000</v>
      </c>
    </row>
    <row r="196" spans="1:6">
      <c r="A196"/>
      <c r="B196" s="24">
        <v>20</v>
      </c>
      <c r="C196" s="24" t="s">
        <v>339</v>
      </c>
      <c r="D196" s="24" t="s">
        <v>233</v>
      </c>
      <c r="E196" s="53">
        <f>4.515+0.605-0.605-0.915-1.21-0.9-0.9-0.625+0.035+1.27+2.55+0.72+0.3+4.94-0.155-0.245-1.19-1.27-0.645-0.035-1.1-0.15-0.3-1.755-0.95-0.475-0.35+4.861-0.405+0.004-0.276-1.225-1.645-0.39-0.3-0.8+11.26-0.33-0.645-0.325-0.65-0.325-0.985-0.32+5.29-0.355-0.275-0.028+0.019-0.274-0.056</f>
        <v>12.985000000000001</v>
      </c>
      <c r="F196" s="25">
        <v>157000</v>
      </c>
    </row>
    <row r="197" spans="1:6">
      <c r="A197"/>
      <c r="B197" s="24">
        <v>20</v>
      </c>
      <c r="C197" s="24" t="s">
        <v>64</v>
      </c>
      <c r="D197" s="24" t="s">
        <v>233</v>
      </c>
      <c r="E197" s="53">
        <f>5.693-1.715-0.133-0.08+0.056-0.075-0.075-0.85-0.49-0.075-0.95-0.61-0.055-0.075-0.06-0.08-0.52+0.12+0.024+10.155-0.202-0.51-0.105-0.105-0.205-0.105-0.412-0.1-0.505-0.805+0.805-2.635-0.4-0.405-0.1-0.1-0.102-0.286-0.812-0.51-0.308-0.605-0.103-0.102-0.102-0.206-0.507-0.101-0.106-0.205-0.102-0.05-0.105-0.004+4.775-0.24-4.145-0.245-0.16+0.015+2.955-0.72-0.185-0.08-0.08-1.81</f>
        <v>7.9999999999997407E-2</v>
      </c>
      <c r="F197" s="25">
        <v>160000</v>
      </c>
    </row>
    <row r="198" spans="1:6">
      <c r="A198"/>
      <c r="B198" s="24" t="s">
        <v>234</v>
      </c>
      <c r="C198" s="24" t="s">
        <v>64</v>
      </c>
      <c r="D198" s="24" t="s">
        <v>233</v>
      </c>
      <c r="E198" s="53">
        <f>4.056-0.078-0.076-0.155-0.076+2.522+2.524-0.61-0.085-0.08-0.078-0.078-0.075-0.62-0.296-0.082+0.032-0.306-0.23-0.072-0.165-0.531-0.019-1.446-2.538+0.014-1.325+0.48-0.48+2.73+2.2-1.04-0.305-0.23-0.08-0.165+3.908+1.146-0.475-0.535-0.23-0.165-1.185-0.085-0.152-0.23-0.08-0.54-0.71-0.54-0.07-0.01+0.29-0.075-0.09-0.085-0.29-0.175</f>
        <v>2.8589999999999969</v>
      </c>
      <c r="F198" s="25">
        <v>165000</v>
      </c>
    </row>
    <row r="199" spans="1:6">
      <c r="A199"/>
      <c r="B199" s="24">
        <v>20</v>
      </c>
      <c r="C199" s="24" t="s">
        <v>43</v>
      </c>
      <c r="D199" s="24" t="s">
        <v>233</v>
      </c>
      <c r="E199" s="53">
        <f>16.232-2.42-0.21-0.07-0.71+0.354-0.07-0.1-0.17-0.2-0.2-0.095-0.53-0.1-0.074-0.026-0.3-0.5+3.686+3.41+2.738-3.305-1.2-0.095-1.98-7.889-0.095+19.9+1.965-1.31-1.16-0.36-0.31-0.4-0.3-1.51-0.2-4.8-1.29-0.01-0.165-0.005-0.1-2.015+9.99-0.557-0.601-0.276-1.581-0.097-0.61-0.705-0.091-1.82-1.03-1.046-0.096-2.075-0.172-3.16-0.815+0.172+0.019-0.81-0.2+0.001-0.085-0.205-0.515-5.763+0.07-0.085-0.085</f>
        <v>1.7830000000000072</v>
      </c>
      <c r="F199" s="25">
        <v>150000</v>
      </c>
    </row>
    <row r="200" spans="1:6">
      <c r="A200"/>
      <c r="B200" s="24" t="s">
        <v>234</v>
      </c>
      <c r="C200" s="24" t="s">
        <v>43</v>
      </c>
      <c r="D200" s="24" t="s">
        <v>233</v>
      </c>
      <c r="E200" s="53">
        <f>13.73-9.638-1.31-0.265-0.683-0.347-0.87-0.615+3.06-0.885-0.36-0.002-0.355-0.27-0.09-0.265-0.53+0.53+10.001-0.87-0.476-0.082-1.805-2.03-0.553-0.08-0.946-2.015+1.766+2.54-0.081-0.09-1.766-0.789+0.264-1.331-1.02-0.08-0.083-0.56-0.004+0.346+3.224+3.168+3.622-2.09-0.73-0.645</f>
        <v>7.6400000000000006</v>
      </c>
      <c r="F200" s="25">
        <v>157000</v>
      </c>
    </row>
    <row r="201" spans="1:6">
      <c r="A201"/>
      <c r="B201" s="24">
        <v>20</v>
      </c>
      <c r="C201" s="24" t="s">
        <v>340</v>
      </c>
      <c r="D201" s="24" t="s">
        <v>233</v>
      </c>
      <c r="E201" s="53">
        <f>29.698-0.115-1.273-0.925-0.225-0.46-3.125-0.345-0.335-4.273-1.73-0.454-0.69-0.116-0.104-0.011-0.132-0.098-0.7-0.226-0.225-0.116-0.114-2.187-4.276-0.116-0.115-0.454-2.841-0.23-0.345+0.132-0.115+20.359-0.064-0.051-0.47-1.532-0.23-0.225-1.15-0.34-0.658-1.426-0.556-1.102-0.34-0.23-1.118-0.105-0.225-0.332-0.115-0.222-1-1.462-5.681-0.226-0.32-0.11-0.665-1.55-0.115-0.115-0.55-0.12-1.218+0.039+16.874+3.195-0.115-0.685-0.685-0.23-0.115+21.747-1.48-1.025-0.46-0.115-0.57-0.115-0.115-0.115-1.703-1.261-2.395-0.23-0.113-0.093-1.045-0.115-0.662-0.478-1.025-0.115-0.23-2.035-0.23-0.106-0.009-0.34</f>
        <v>23.939999999999998</v>
      </c>
      <c r="F201" s="25">
        <v>137500</v>
      </c>
    </row>
    <row r="202" spans="1:6">
      <c r="A202"/>
      <c r="B202" s="24" t="s">
        <v>234</v>
      </c>
      <c r="C202" s="24" t="s">
        <v>340</v>
      </c>
      <c r="D202" s="24" t="s">
        <v>233</v>
      </c>
      <c r="E202" s="53">
        <f>4.884+0.2-0.094-0.185-0.885-0.444-0.086-0.2-0.264-0.084-0.092-0.978-0.094+4.25+1.179-0.086-4.25-0.535-1.592-0.125+1.39-0.22+2.35+5.402-1-1.62-0.11+1.405-0.2-0.108-2.14-1.06-1.405-0.11-0.543-2.582+0.008+0.024+4.153+0.384+4.143+4.153+4.143+2.697-1.115-0.335-4.153-2.24-0.1-0.352-1.543-1.765-3.038-0.384-1.813-2.697-0.112+3.002+0.887+2.347+3.007+3.039+2.996+3.037+0.194-0.095-0.225-0.095-2.907-0.662-2.347-3.007-3.039-2.996-3.037+10.222-1.66-0.25-0.026-0.09-0.099-0.265-0.086-0.09-0.427-0.091-1.835-0.091-0.182-0.176-0.793-2.91</f>
        <v>1.2760000000000007</v>
      </c>
      <c r="F202" s="25">
        <v>157500</v>
      </c>
    </row>
    <row r="203" spans="1:6">
      <c r="A203"/>
      <c r="B203" s="27">
        <v>20</v>
      </c>
      <c r="C203" s="24" t="s">
        <v>44</v>
      </c>
      <c r="D203" s="24" t="s">
        <v>233</v>
      </c>
      <c r="E203" s="53">
        <f>19.03-0.235-0.115+3.174-0.715-0.71-0.12-0.705-0.12-0.12-1.525-0.005-0.47-2.704-0.6-0.725-0.1+20.841-0.36-0.72-0.24-0.24-0.48-0.74-0.6-0.36-0.48-0.36-1.08-0.856-0.124-0.24-0.59-3.575-0.12-0.24-0.24-0.271-0.444-0.12-0.235-0.355-1.07-1.07-0.071-0.049-0.286+0.019+30.02+0.22-0.83-2.125-0.12-0.835-3.897-1.771-4.37-1.07-0.96-0.94-0.78-0.47-2.015-1.31-3.303-0.6-0.96-0.14-0.595-0.59-0.6-10.036-0.12-0.355-0.59-0.12-0.12-0.12-0.36-0.48-0.12-0.091-0.173-0.096+0.014-3.908-0.356-0.115-0.08-0.03-1.31-0.494-0.483-0.065-0.035-0.02+0.02-0.24-0.47+19.075-0.345+0.887-0.342-0.57-1.366-0.456-2.105-0.235-0.106+0.106-1.045-0.116-0.232-0.34-0.112+19.051+0.951+19.89-0.235-0.467-0.35-0.473-6.206-1.165-7.704-0.825-0.116-0.47-0.111-0.235-1.055-1.518-5.991-0.1-0.015-0.23-1.968-0.465-0.117-0.925-0.672-0.195-0.04-0.23-0.085-1.183-12.852-3.875-2.175-0.345+0.018-0.11+0.11+4.16+4.664-2.11-0.525+15.521-2.692-0.11-0.125-1.39-1.26</f>
        <v>16.43300000000001</v>
      </c>
      <c r="F203" s="25">
        <v>137500</v>
      </c>
    </row>
    <row r="204" spans="1:6">
      <c r="A204"/>
      <c r="B204" s="24" t="s">
        <v>234</v>
      </c>
      <c r="C204" s="24" t="s">
        <v>44</v>
      </c>
      <c r="D204" s="24" t="s">
        <v>233</v>
      </c>
      <c r="E204" s="53">
        <f>31.595-2.797-2.806-2.814-0.47-0.425-0.001-0.564+0.001-4.256-0.115-0.117-0.352-0.11-0.62-0.69-0.125-0.21-2.592-3.962-0.235+0.011+0.003+3.083+2.971+3.069+3.102+3.113+3.079+2.633-0.034-0.086-0.125-0.115-0.8-3.069-0.93-0.495+4.404+4.397+2.491+0.78+4.387+4.382-1.04+10.396+0.869+4.378+4.351-20.841+0.703-2.633-1.124-1.544-0.35-0.12-0.36-0.455-0.25-0.245-0.122-15.172-0.115-0.75-8.627-1.4+0.017+4.904-0.35+2.078-0.12-0.019-0.098-0.096-0.347+0.035+39.765+38.839-2.078-0.395-0.295-6.472-0.47-0.355-0.235+0.728-0.35-20.008-2.79-4.333-4.32-4.292-4.305-41.235+0.02-0.728-0.225-0.1+22.435+34.534+10.665+39.053+13.705-0.475-0.05-1.098-0.1-4.979-1.47-0.515-1.565-0.125-1.577-0.49-0.122-0.125-2.07-4.501-0.376-2.414-20.017-20.072-3.28-3.02-0.121-0.25+25.788-1.079-0.3-0.335-0.125-0.366-0.245-3.01-0.125-0.37-1.04-0.116-0.125-0.11-36.111-14.677+0.016-0.247-0.241-0.12-0.215-1.336-3.007-1.16-0.125-1.463-0.115-0.73-0.123-0.61-0.125-0.195-0.24-0.111-0.125-0.121</f>
        <v>11.346000000000014</v>
      </c>
      <c r="F204" s="25">
        <v>142500</v>
      </c>
    </row>
    <row r="205" spans="1:6">
      <c r="A205"/>
      <c r="B205" s="24">
        <v>20</v>
      </c>
      <c r="C205" s="24" t="s">
        <v>45</v>
      </c>
      <c r="D205" s="24" t="s">
        <v>233</v>
      </c>
      <c r="E205" s="53">
        <f>43.643-0.738-2.114+0.535-1.09-0.872-0.148+0.098-0.28+2.1-0.545-4.462+1.09-1.09-0.875-0.68-0.66-0.55-2.98-0.392-0.018-2.356-0.41-0.41+0.012-0.685-4.53-0.592-0.025-0.28-0.395-0.012-2.196-0.274-3.95-0.438-0.882-2.58-0.525-0.14+20.524-0.336-0.477-1.881-0.272+0.08-0.146-1.497-0.555-2.601-0.845-0.28-0.975-0.13-0.14-1.096-0.14-3.184-0.125-0.255-1.755-1+1.689-3.321-0.073+18.909-0.379-1.515-0.401-0.054-4.495-4.49-3.279-0.375-0.985-0.565-0.264-1.133-4.49-0.381-0.27-0.025-0.115-0.135+4.454+4.443-2.02+21.603-1.904-0.135-2.69-0.675-0.94-0.132-0.808-2.015-0.41-1.002-13.483-0.135-0.076-0.05-0.009+12.494-0.412-0.807-0.382-0.135-0.54-0.135-3.096-2.78-1.215-0.675-0.135-1.871-0.395-1.04-2.98+0.395-1.349-0.197-0.395-0.407-0.268-0.275+0.036+0.003</f>
        <v>3.5259999999999856</v>
      </c>
      <c r="F205" s="25">
        <v>137500</v>
      </c>
    </row>
    <row r="206" spans="1:6">
      <c r="A206"/>
      <c r="B206" s="24" t="s">
        <v>234</v>
      </c>
      <c r="C206" s="24" t="s">
        <v>45</v>
      </c>
      <c r="D206" s="24" t="s">
        <v>233</v>
      </c>
      <c r="E206" s="53">
        <f>23.505-0.108-1.62-0.405-4.439-3.265-0.275+1.22-0.135-0.4+21.079-0.135-1.126-0.096-0.27-0.118-0.81-0.81-0.408-0.27-0.2+0.014-0.405-1.08-3.635-1.345-1.745-2.434-0.793-0.997-1.079-0.135-0.27-2.43-3.642-0.223-0.096-2.44-0.137+4.93-0.95-0.135-0.268-0.27-0.824-0.121-1.99+9.844+0.526+19.456-0.12-0.392-15.961-1.22-0.54+2.072-11.678-0.48-0.135-0.48-1.1+21.156-1.9-0.41-2.03-0.27-1.565-2.04-1.225-1.08-0.135-1.087-2.035-2.03-0.673-4.336-0.125-1.335-0.266-0.009+0.248-0.25+0.035-2.17-0.71+21.886-0.131-0.132-0.002-0.14-0.127-0.72-0.135-0.26-0.365-4.189-0.327-0.285-1.3-0.265</f>
        <v>17.471999999999987</v>
      </c>
      <c r="F206" s="25">
        <v>142500</v>
      </c>
    </row>
    <row r="207" spans="1:6">
      <c r="A207"/>
      <c r="B207" s="24">
        <v>20</v>
      </c>
      <c r="C207" s="24" t="s">
        <v>341</v>
      </c>
      <c r="D207" s="24" t="s">
        <v>233</v>
      </c>
      <c r="E207" s="53">
        <f>0.76-0.31-0.315+3.956+3.975+3.972+3.97+3.973+3.957-0.825-2.16+1.115-0.987-0.33-3.975-3.957-0.995+0.5+0.84+1.5+0.5+1.44-3.956-2.645-0.5-0.5-1.44-1.5-0.84-0.33-1.99-0.665-0.988-0.135-0.015+0.015+20.146-0.172+0.14-2.885-0.56-0.14-0.508-0.176+20.05-0.34-0.342-0.17-0.41+0.66-2.714-4.068-0.172-0.15-5-2.459+0.005-0.17-0.35-0.67+0.05-0.465+0.135+0.67-0.13-0.83-1.02-0.12-0.67-2.065-0.31-0.105-0.205-0.1+2.475-0.165+17.839-0.66-0.165-0.165-0.165-0.33-0.165-0.66-0.335-0.165-0.206-0.156-0.495-1.66</f>
        <v>30.317000000000014</v>
      </c>
      <c r="F207" s="25">
        <v>137500</v>
      </c>
    </row>
    <row r="208" spans="1:6">
      <c r="A208"/>
      <c r="B208" s="24" t="s">
        <v>234</v>
      </c>
      <c r="C208" s="24" t="s">
        <v>341</v>
      </c>
      <c r="D208" s="24" t="s">
        <v>233</v>
      </c>
      <c r="E208" s="53">
        <f>2.495+0.81+2.54-0.14-0.385-0.155-1.05-0.37-0.81-0.64+5.162-0.13-1.02-0.765-0.155-5.07-0.265+0.04-0.15+0.058+0.274+3.965+4.535-0.275-3.965-2.345-0.14-0.14+10.458-0.155-0.275-0.54-0.14-0.136+0.418+2.65+0.96-0.145+0.286-0.14+0.455-0.14+2.865-0.96+2.865+5.488-1.655-0.295-1.305-2.865-0.304-0.575-0.731-0.119-4.948-0.286-0.455-3.529-0.167-2.65-2.74+0.041+0.167-0.955-0.273-1.927-0.152+0.152-0.14-0.012+1.349+2.443+0.791+4.518+4.486+4.5+0.494+1.859+1.486+0.942-0.791-0.78-0.155-0.47-0.5-0.33-0.825-0.164-0.006-4.518-2.67-2.33-0.166-0.17-0.67-0.505-1.349-0.165+18.285-0.17-0.448-0.027-1.15-0.942-1.986-0.409-0.613-0.34-1-1.15-1.962-0.165-0.448-0.274-3.782-0.66-3.942-3.285-0.33+18.937-0.165-0.977-8.832-0.16-0.16-0.315-0.785-1.091-3.891-1.61-0.16+3.742</f>
        <v>6.038999999999997</v>
      </c>
      <c r="F208" s="25">
        <v>152500</v>
      </c>
    </row>
    <row r="209" spans="1:6">
      <c r="A209"/>
      <c r="B209" s="24">
        <v>20</v>
      </c>
      <c r="C209" s="24" t="s">
        <v>46</v>
      </c>
      <c r="D209" s="24" t="s">
        <v>233</v>
      </c>
      <c r="E209" s="53">
        <f>25.819-5.1-0.17+2.262-0.374+3.122-0.185-6.115-0.002+0.12+3.419+0.005-0.39-0.372-0.19+27.279-0.19-0.19-0.76-0.19-0.76-0.188-1.14-0.342-0.19-0.19-0.195-0.19-0.19-0.39-0.57-0.19-2.09-0.182-0.38-4.542-0.38-0.56-0.19-0.17-2.036-0.17-0.38-0.57-0.37-2.371-0.76-0.95-0.38-0.19-0.38-0.76-0.946-4.078-1.14-0.57-4.551-0.19-0.19-0.19-0.215-3.215-0.57-3.122-0.172-2.66+0.09-0.68-0.665-0.545-0.09-0.14-0.022-0.09-0.069-0.012+20.348-6.495+9.718-0.175</f>
        <v>24.815999999999995</v>
      </c>
      <c r="F209" s="25">
        <v>137500</v>
      </c>
    </row>
    <row r="210" spans="1:6">
      <c r="A210"/>
      <c r="B210" s="24" t="s">
        <v>234</v>
      </c>
      <c r="C210" s="24" t="s">
        <v>46</v>
      </c>
      <c r="D210" s="24" t="s">
        <v>233</v>
      </c>
      <c r="E210" s="53">
        <f>20.967-0.185-3.179-0.38-0.19-0.19-0.19-0.38-0.56-0.19-0.385-0.19-0.185+0.38+0.528+2.348+4.331+4.335+4.322+4.304+0.164-0.38-0.528-0.164-3.37-4.304-0.544-0.185-0.19-0.19-1.993-0.75-0.355-0.185-4.331-4.335-4.322-0.94-3.557-3.555-0.375-0.737+16.407+1.507+0.172+0.16+0.912+4.464+4.462+3.905+4.458-1.312-0.912-0.186-1.507-0.172-0.16-3.154-0.185-0.19-0.382-0.19-2.055-0.19-2.04-3.907-0.369-0.555-0.181-4.458-0.374-2.054-1.314-1.348-0.195-0.192-4.92+20.977-3.165-0.942-0.94-0.192+19.483-0.76-0.365-0.17-0.157-0.62-4.4-2.935-3.481-0.016-0.185-0.382-0.181-0.367-0.38-0.185-0.385-0.38-0.185-5.81-1.47-0.375-0.185-0.55-0.185-0.363-0.187-0.55-0.95-2.2-2.44-0.19-0.2+19.887-0.37-1.101-0.185-0.185-3.13-0.911-0.19-4.049-1.31-0.002-1.288-0.185-0.733+11.945+2.385+4.925-0.185-5.153-1.11-1.105-2.57-0.75-0.185-0.185-0.185-0.19-0.19-0.13-0.236-4.03-3.475-1.52-1.455</f>
        <v>11.011000000000021</v>
      </c>
      <c r="F210" s="25">
        <v>142500</v>
      </c>
    </row>
    <row r="211" spans="1:6">
      <c r="A211"/>
      <c r="B211" s="24">
        <v>20</v>
      </c>
      <c r="C211" s="24" t="s">
        <v>342</v>
      </c>
      <c r="D211" s="24" t="s">
        <v>233</v>
      </c>
      <c r="E211" s="53">
        <f>24.5-0.21-0.4-0.21-6.535-2.248-9.483-0.169-0.39-1.485-2.611-0.196+4.882+1.226+4.874+4.784+4.886+0.09-0.197-1.42-1.226-1.015-0.405+23.751+3.551+3.965-10.001-1.01-0.205-2.074-2.505-0.42-1.05-0.172-0.026+0.026-0.399-1.477-1.215-0.625-1.015-2.08-3.13-2.234-3.895-0.62-0.2-2.427-7.49-1.03+4.878+4.895+4.895+1.229+4.884-4.884-0.221-0.159-0.03-1.229-1.735-0.076-0.62-0.82-0.205-3.02-0.62+7.63-0.23+12.832-0.42-0.624-4.919+21.476-0.213-4.245-3.695-2.795-4.758-2.211-0.191+2.37+2.34+0.76-4.755-0.2-1.465+0.396+0.42+0.536-0.396-0.182-3.592-1.19+20.015-0.215-0.81-1.02-0.2-2.02-4.84-2.18-2.15-7.06-3.048-0.01-0.2-0.415+2.062-0.205-0.206-4.864-11.099-0.205-0.34-0.42-0.622-0.755-0.015+0.027-0.195-0.195-0.38-0.196-0.558-0.175-0.395+0.002+0.025-0.014+20.502-0.615+20.43-0.41-3.047-0.205-1.84-1.422-0.56-1.86-1.302-0.755-0.19-2.065-0.19-0.41-1.157-0.82-4.568-4.536-4.517-0.61-0.615-0.395-0.02</f>
        <v>8.8230000000000128</v>
      </c>
      <c r="F211" s="25">
        <v>137500</v>
      </c>
    </row>
    <row r="212" spans="1:6">
      <c r="A212"/>
      <c r="B212" s="24" t="s">
        <v>234</v>
      </c>
      <c r="C212" s="24" t="s">
        <v>342</v>
      </c>
      <c r="D212" s="24" t="s">
        <v>233</v>
      </c>
      <c r="E212" s="53">
        <f>6.667+2.3-0.97-0.18-0.195-1.248-0.59-0.1-1.77-2.04+2.04-0.562-1.355-0.71-1.135+0.001+0.025+0.191+4.44+0.381-3.8-0.381-0.189-0.191-0.161-0.29+2.664+2.505+3.33+3.31+2.98+3.42-0.64-0.78-0.48-2.98+3.641+0.278+2.186+8.248+8.748+6.626-0.325-0.325-5.285+1.9+4.867+4.856+4.867+4.845+0.603-0.188-0.32-0.2-0.405-0.403-0.377-8.748-1.835-0.195-1.008-0.643-0.555-0.2-0.8-2.427-0.615-0.366-0.78-12.601-0.38-0.145-0.033-0.19-1.958+2.062-0.77-0.192-0.64-0.2-2.062-0.382-0.355-0.44-1.47-0.745-1.95-1.505-0.2-0.165-0.171-0.77-0.315</f>
        <v>13.594999999999965</v>
      </c>
      <c r="F212" s="25">
        <v>142500</v>
      </c>
    </row>
    <row r="213" spans="1:6">
      <c r="A213"/>
      <c r="B213" s="30">
        <v>20</v>
      </c>
      <c r="C213" s="30" t="s">
        <v>157</v>
      </c>
      <c r="D213" s="30" t="s">
        <v>233</v>
      </c>
      <c r="E213" s="53">
        <f>30.092-1.159-0.84-0.62+2.175-0.61-3.54-0.215+0.002-1.036-9.139-5.612-0.616-0.194-0.2-0.455-0.424-0.176+0.176+0.205+3.074+4.384-2.494+3.302+4.42+4.417-0.201-0.199-0.39-0.66-0.665-0.66-3.302-0.66-0.213-0.205+0.023-0.665-0.885-0.66+0.465-1.11+1.224-1.325+19.572-15.093-1.105-1.025-1.63-0.206-1.274-1.052-0.12-0.424-0.404-3.126-1.294-0.241-0.206-1.425-1.095+0.013-1.065-0.085-0.129-0.225+20.478-0.825-3.92-0.21-0.21-0.21-0.212-3.936-0.415-0.415-2.465-2.28-0.21-0.21-0.205+21.288+21.11-0.415-0.799-4.735-1.569-0.985-17.146-0.985-2.955-0.394-0.59-2.17-0.197-0.2-0.205-9.043-0.023-0.969-0.79-0.595-0.395-0.395-0.2-0.395-0.79+19.289-0.393-0.21-0.207-0.003-0.21-1.68+1.476-1.05-2.099-0.635-0.21-1.476-0.634-0.211-0.42</f>
        <v>14.730000000000008</v>
      </c>
      <c r="F213" s="25">
        <v>137500</v>
      </c>
    </row>
    <row r="214" spans="1:6">
      <c r="A214"/>
      <c r="B214" s="28" t="s">
        <v>1041</v>
      </c>
      <c r="C214" s="30" t="s">
        <v>157</v>
      </c>
      <c r="D214" s="30" t="s">
        <v>233</v>
      </c>
      <c r="E214" s="53">
        <f>1.935-1.49</f>
        <v>0.44500000000000006</v>
      </c>
      <c r="F214" s="25">
        <v>137500</v>
      </c>
    </row>
    <row r="215" spans="1:6">
      <c r="A215"/>
      <c r="B215" s="28">
        <v>45</v>
      </c>
      <c r="C215" s="30" t="s">
        <v>157</v>
      </c>
      <c r="D215" s="30" t="s">
        <v>233</v>
      </c>
      <c r="E215" s="53">
        <f>5.73-0.455-0.445</f>
        <v>4.83</v>
      </c>
      <c r="F215" s="25">
        <v>156000</v>
      </c>
    </row>
    <row r="216" spans="1:6">
      <c r="A216"/>
      <c r="B216" s="30" t="s">
        <v>234</v>
      </c>
      <c r="C216" s="30" t="s">
        <v>157</v>
      </c>
      <c r="D216" s="30" t="s">
        <v>233</v>
      </c>
      <c r="E216" s="53">
        <f>3.448-0.205-0.2-0.391-0.198-2.132+0.052+0.016-0.201-0.189+4.617+1.389+0.225+4.622+4.618+4.618-2.535+2.24-1.389-0.225-2.083-0.23-0.46-1.85-3.235-0.689-1.383-0.24-2.085-0.927-0.225-1.17+20.503-0.48-1.975-0.986-0.198-0.598-0.2-0.198+4.832+3.058-1.57+21.1-0.198-0.2-0.398-2.393-0.8-1-1.8-0.4-0.6-0.2-0.988-2.562-0.373-0.027-1-0.206-1.032-0.4-1-1.228+0.03-0.4-0.195-1.375-0.465-4.787-0.2-0.2-2-2.344-1.256-0.197-0.397-2.765-0.4-0.196-1.015-0.204-0.196-0.2+0.08-0.992-0.201-0.791-0.395-0.795-0.39-0.66-1.065-0.99+0.036</f>
        <v>5.1609999999999872</v>
      </c>
      <c r="F216" s="25">
        <v>142500</v>
      </c>
    </row>
    <row r="217" spans="1:6">
      <c r="A217"/>
      <c r="B217" s="30">
        <v>20</v>
      </c>
      <c r="C217" s="30" t="s">
        <v>124</v>
      </c>
      <c r="D217" s="30" t="s">
        <v>233</v>
      </c>
      <c r="E217" s="53">
        <f>21.175-1.018-4.391-4.388-4.391-4.384-1.1+2.442+5.064+0.782-1.11-5.064-0.456-0.876-0.004+19.793-0.275-0.275-0.275+4.606-0.406-0.55+2.715-1.1-1.49-3.847-0.195-0.226-1.1-0.55-3.576-0.195-1.375-0.275-2.747-0.275-0.67+19.902-0.537-2.206-4.425-0.225-0.28-0.273-0.002-0.555-16.294-0.226-1.335-0.033+19.791-0.41-2.01-0.755-0.25-3.521-0.252-1.045-0.25-1.51-0.5-0.25-0.425-1.03-0.207-0.006-0.037</f>
        <v>10.837</v>
      </c>
      <c r="F217" s="25">
        <v>144900</v>
      </c>
    </row>
    <row r="218" spans="1:6">
      <c r="A218"/>
      <c r="B218" s="30" t="s">
        <v>234</v>
      </c>
      <c r="C218" s="30" t="s">
        <v>124</v>
      </c>
      <c r="D218" s="30" t="s">
        <v>233</v>
      </c>
      <c r="E218" s="53">
        <f>3.495-0.19-0.19-0.385-0.185+4.98-0.242-0.24-0.265-4.745+0.247-0.15-0.035-1.835+0.1+10.078-0.175-0.145-0.065+0.025-0.375-2.3-3.426-0.418-0.214-3.345+3.32-0.476-0.242-2.604+0.002+8.154-0.265-0.24-0.23-0.475-0.45-0.47+0.225+2.28+2.84+0.38-1.395-4.215+0.422+2.66+2.465-0.89-0.455-2.66-0.758-1.708-0.57-0.235+0.01-0.175-1.132-0.194+9.836-0.195-0.226-2.93-0.422-5.798-0.906-0.563-0.196+0.024-0.47-0.945+0.056+20.967-19.571+4.434+4.395+4.398+2.323+4.435+2.333+4.438+4.442+4.439+4.438-3.04-0.47-1.17-4.442-0.235-0.19+0.006-0.47-0.235-0.7-0.235-2.333-0.235-0.71-0.235-3.04-0.47-0.235-0.235+0.65-0.455-0.015-0.433-0.507-0.225-1.63-0.235-0.47-1.396-0.43+0.005-0.47-0.47-1.41-3.975-0.71-0.42-0.05-0.235+20.837-1.245-2.475-0.25-0.25-0.25-4.714</f>
        <v>21.753</v>
      </c>
      <c r="F218" s="25">
        <v>152500</v>
      </c>
    </row>
    <row r="219" spans="1:6">
      <c r="A219"/>
      <c r="B219" s="30">
        <v>20</v>
      </c>
      <c r="C219" s="30" t="s">
        <v>343</v>
      </c>
      <c r="D219" s="30" t="s">
        <v>233</v>
      </c>
      <c r="E219" s="53">
        <f>13.562-0.315-0.32-0.95+4.716+4.717+4.716+4.712+1.471-1.251-0.32-0.635-0.945-0.32-3.237-0.62-0.889-0.9-0.635-0.63-0.307-0.008-1.26-0.63-0.005-0.544-0.051-0.317-0.05-0.25-0.31-0.315-0.315-0.95-0.315-0.31-0.32-1.471-1.245-0.295-0.295-0.295-0.885-0.295-0.59-0.29-0.295-1.756-0.59-0.295-1.77-0.881-0.59-0.295-2.655-0.295+1.886+3.754+3.772+11.275-0.316-0.293-0.294-0.31-0.94-2.815-0.939-0.315-0.315-1.247-0.315-0.945-0.311-0.319-0.315-1.57-1.575-0.311-0.625</f>
        <v>7.2039999999999953</v>
      </c>
      <c r="F219" s="25">
        <v>144900</v>
      </c>
    </row>
    <row r="220" spans="1:6">
      <c r="A220"/>
      <c r="B220" s="30" t="s">
        <v>234</v>
      </c>
      <c r="C220" s="30" t="s">
        <v>343</v>
      </c>
      <c r="D220" s="30" t="s">
        <v>233</v>
      </c>
      <c r="E220" s="53">
        <f>4.255-3.85+2.52+2.32+0.2-2.32-1.68+3.06+0.2+1.74+1.1+4.97-0.2-3.06-0.67-0.22-0.225-0.84-0.22-4.53-1.09+0.005-0.23-0.65-0.22+0.015+0.02-0.2-0.2+4.58+4.82+0.42+0.43+5.47-0.225-1.095-0.42-1.1-0.215-0.225-0.23-4.365-0.65-2.855-0.23-2.83-0.43-0.875+0.025+4.15-4.15+1.74+0.86-0.23-0.425-0.21+0.005-1.095-0.645+16.948+1.852-2.475-3.09+0.24-0.315+22.722-0.598-0.306-2.165-0.95-0.3-0.93-0.312-1.24-0.942-2.475-1.85-0.31-0.62+0.05-0.31-0.612-0.945-0.95-1.575-0.23-0.01+0.01-0.315-0.315</f>
        <v>17.682000000000009</v>
      </c>
      <c r="F220" s="25">
        <v>152500</v>
      </c>
    </row>
    <row r="221" spans="1:6">
      <c r="A221"/>
      <c r="B221" s="30">
        <v>20</v>
      </c>
      <c r="C221" s="30" t="s">
        <v>344</v>
      </c>
      <c r="D221" s="30" t="s">
        <v>233</v>
      </c>
      <c r="E221" s="53">
        <f>11.487-1.05-1.05-3.14-1.026-0.014-1.745-0.35-0.345-0.01-0.028-2.072+4.083+4.083+4.086+4.085+4.084-0.345-1.705-2.378-0.7+0.043-1.694-1.705-4.085-0.685-0.34-2.39-0.34-2.05-0.345-0.671+4.48+4.47+4.474+4.468-1.018-0.012-0.345+2.75-0.344-2.033-0.69-0.346-0.35-0.345-1.372+0.007-0.331-0.014-2.405-1.375-0.313-0.032-0.69-4.135-3.778-0.005-1.375+4.152+4.148+4.151-0.69-0.35+4.148+4.155-0.339-0.692-1.73-1.035-1.044-0.001-14.522+21.081-0.339-1.041-0.35-0.35-0.35</f>
        <v>20.030999999999992</v>
      </c>
      <c r="F221" s="25">
        <v>142500</v>
      </c>
    </row>
    <row r="222" spans="1:6">
      <c r="A222"/>
      <c r="B222" s="30" t="s">
        <v>234</v>
      </c>
      <c r="C222" s="30" t="s">
        <v>344</v>
      </c>
      <c r="D222" s="30" t="s">
        <v>233</v>
      </c>
      <c r="E222" s="53">
        <f>5.985-0.245-0.5-3.54-0.25+0.2+5.104+2.17+2.88+0.47-0.2-0.705-5.104-2.17-2.171-0.245-0.23-0.245-0.232-0.246+2.76+2.77-0.24-0.245-0.246+0.015+8.5-0.59-0.94+0.295-0.69-0.69-0.46+0.02-0.92-0.875-0.6-0.7-0.45-1.175-0.215-0.015-3.22-0.3-0.295-1.195-0.58+0.035+1.38+4.76-1.15-0.245-0.96-2.385-0.23-0.24+4.452+4.442+2.735+4.444+4.443-1.17-0.345-0.69-2.74-0.24-0.345-0.69-1.01-0.025-1.025-0.309-0.036-0.345-2.74-4.442-0.345-1.37+13.951-0.69+2.783+3.485-1.322-0.048-0.35-0.345-0.34-1.75-3.465-0.345-0.35-0.695+0.24-0.35-0.336-1.045-0.345-0.345-0.35-0.35-0.35-0.345-2.153-0.345+0.081-0.35-0.342-3.485</f>
        <v>4.4080000000000048</v>
      </c>
      <c r="F222" s="25">
        <v>152500</v>
      </c>
    </row>
    <row r="223" spans="1:6">
      <c r="A223"/>
      <c r="B223" s="30">
        <v>20</v>
      </c>
      <c r="C223" s="30" t="s">
        <v>345</v>
      </c>
      <c r="D223" s="30" t="s">
        <v>233</v>
      </c>
      <c r="E223" s="53">
        <f>8.575-2.075-0.25-1.81-0.515-0.525-1.295+0.005-0.27-0.275-0.77-0.275-0.275+1.59+3.68-2.115-0.79-0.26+0.26+0.51+2.89+2.61-2.1-0.27-1.3-0.79-0.275-0.53-1.31-0.245-0.785-0.275+0.03+4.855+3.665+0.23+2.95+3.47+0.51-1.54-0.31-0.31-0.925-0.62-1.07-1.515-0.915+0.575-1.225-1.88-1.07-0.74-0.31-0.23-1.66-0.25-0.575-0.31-0.62+0.04+0.04-0.255+2.274+4.569+4.552+4.566+4.562-0.26-0.255-2.28-2.274-1.145-1.91-0.385-1.525-0.759-0.006-0.38-1.145-3.05-0.357-0.023-0.38-0.338-0.042+5.146+5.158-0.27+0.01-0.325-2.67-0.385-1.31-0.77-2.265-0.97+6.175-0.385+3.432+2.641+3.033+3.827+3.826+3.827-1.15-0.625-1.525-4.65-0.38</f>
        <v>24.179000000000006</v>
      </c>
      <c r="F223" s="25">
        <v>147500</v>
      </c>
    </row>
    <row r="224" spans="1:6">
      <c r="A224"/>
      <c r="B224" s="30" t="s">
        <v>234</v>
      </c>
      <c r="C224" s="30" t="s">
        <v>345</v>
      </c>
      <c r="D224" s="30" t="s">
        <v>233</v>
      </c>
      <c r="E224" s="53">
        <f>4.14+0.26-3.9+0.24+2.61+2.07+0.25+0.25-2.61-2.07-0.25+2.35+2.61+0.24-0.785-0.265-2.35-1.045-0.25-0.525+0.01-0.265-0.24-0.235-0.275+0.035+2.99+2.52-0.218-1.268-0.22-1.73-0.407-0.877-0.573+3.65+0.9+0.92-0.61-0.217-0.61-0.305-0.29-0.005-0.01-0.9</f>
        <v>2.7400000000000011</v>
      </c>
      <c r="F224" s="25">
        <v>161000</v>
      </c>
    </row>
    <row r="225" spans="1:6">
      <c r="A225"/>
      <c r="B225" s="30">
        <v>20</v>
      </c>
      <c r="C225" s="30" t="s">
        <v>346</v>
      </c>
      <c r="D225" s="30" t="s">
        <v>233</v>
      </c>
      <c r="E225" s="53">
        <f>10.49-0.835-0.55+0.005-0.3-0.285-0.595-0.58-0.57-0.285-0.3-0.27-1.105-0.3-0.035-0.265-0.87-0.29-0.275-0.31-0.285-0.29-0.01-1.07-0.03+5.16-0.29-1.15-1.445-0.305-0.287-0.3-0.24-0.06+4.89-0.28+0.08-0.28-0.295-0.28-4.39-0.285+8.865-0.533-0.317-0.305-0.295-1.785-1.485-0.315-0.293+5.37-2.115+0.168-0.305-1.485-0.29-0.3-2.95+1.58-0.183-0.307+3.66-0.275-1.045-0.795-0.265-0.52-0.26-0.785-0.015-0.245-0.525-0.295-0.3-0.905-0.525-0.315-0.3+0.125+4.87+4.868+12.19-0.405-0.41-0.415-0.41-0.41-0.41-2.035-1.598-0.027-1.22-0.41-2.45-0.41-0.41+0.057-0.41-0.295+0.127+5.242-0.31-0.294-0.318-0.928-1.55-2.45-1.235-0.815-0.31-0.305+0.008-1.625-0.82-0.395-0.41-0.41+10.986-0.41-1.215-1.215-0.405-0.41-0.82-0.41-0.41-0.415-1.62-6.924-0.38+0.018+20.733-0.371-0.392-2.045+20.737+5.626-1.225-1.623-2.847-0.41-1.225-0.41-1.63-0.407-0.41-0.815-0.41-0.399-0.011-2.037-0.815-0.41-1.63-0.805-0.404-0.006-0.001-2.035-0.414</f>
        <v>23.909000000000013</v>
      </c>
      <c r="F225" s="25">
        <v>144900</v>
      </c>
    </row>
    <row r="226" spans="1:6">
      <c r="A226"/>
      <c r="B226" s="30">
        <v>20</v>
      </c>
      <c r="C226" s="30" t="s">
        <v>347</v>
      </c>
      <c r="D226" s="30" t="s">
        <v>233</v>
      </c>
      <c r="E226" s="53">
        <f>5.652-2.712+4.76-0.595-0.305-0.9-0.3-0.31-2.38-0.31+0.005+0.03-0.302-0.247-0.305-0.905-0.3-0.302-0.3+0.026+5.37-0.766-1.155-1.51-0.395+5.225-1.173+4.83-0.7-0.72-0.355-4.83-1.04-0.371-1.415-0.07-0.995+0.07+2.65+2.66-1.194-0.3-0.595-0.6-1.185-0.29-0.271-0.914+0.039+5.295-5.295+4.365-0.645-3.72+2.572+3.668+4.76+0.91-2.572-4.76-1.1-1.11-1.458-0.615+4.844-0.3+0.005-0.445-0.45-0.435-0.44-1.325-1.335+3.902-2.14-0.36-0.414-0.016+7.735+1.485+1.078-0.306-0.9-0.302-3.092-1.86-0.935-0.36-0.62-0.311</f>
        <v>2.9979999999999962</v>
      </c>
      <c r="F226" s="25">
        <v>156000</v>
      </c>
    </row>
    <row r="227" spans="1:6">
      <c r="A227"/>
      <c r="B227" s="30" t="s">
        <v>234</v>
      </c>
      <c r="C227" s="30" t="s">
        <v>347</v>
      </c>
      <c r="D227" s="30" t="s">
        <v>233</v>
      </c>
      <c r="E227" s="53">
        <f>5.038-0.305-2.015-0.275-0.35+5.02-0.24-2.25-0.25-1.01-0.77</f>
        <v>2.5929999999999995</v>
      </c>
      <c r="F227" s="25">
        <v>161000</v>
      </c>
    </row>
    <row r="228" spans="1:6">
      <c r="A228"/>
      <c r="B228" s="30">
        <v>20</v>
      </c>
      <c r="C228" s="30" t="s">
        <v>348</v>
      </c>
      <c r="D228" s="30" t="s">
        <v>233</v>
      </c>
      <c r="E228" s="53">
        <f>2.74-2.125-0.61+1.15+4.155-0.38-0.375-0.385-0.385-2.285-0.005-0.345-0.03+4.97-1.17+0.05-0.755-0.475-0.25-1.01-0.745-1.735+4.375-0.765-0.38-0.76-0.365-0.385-0.355-1.4+0.035+5.642+5.65-0.41-0.41-0.83-0.81-0.41-0.41-0.41-1.24-0.395-2.835-2.815-0.015-0.4+0.098+4.65-0.393-1.163-3.105+0.011</f>
        <v>1.2108369862318114E-15</v>
      </c>
      <c r="F228" s="25">
        <v>144900</v>
      </c>
    </row>
    <row r="229" spans="1:6">
      <c r="A229"/>
      <c r="B229" s="30" t="s">
        <v>234</v>
      </c>
      <c r="C229" s="30" t="s">
        <v>348</v>
      </c>
      <c r="D229" s="30" t="s">
        <v>233</v>
      </c>
      <c r="E229" s="53">
        <f>0.5+4.07-0.25-0.255+0.005-0.795-0.81-0.395-0.18-0.44-0.22-0.405-0.425-0.4+4.2+1.14-0.302-0.6-0.305-0.9-0.302-0.595-0.29-1.14-0.346-0.288-0.272+5.29+0.38-0.755-0.76-0.38-1.52-0.755-1.5</f>
        <v>0</v>
      </c>
      <c r="F229" s="25">
        <v>164500</v>
      </c>
    </row>
    <row r="230" spans="1:6">
      <c r="A230"/>
      <c r="B230" s="30">
        <v>20</v>
      </c>
      <c r="C230" s="30" t="s">
        <v>987</v>
      </c>
      <c r="D230" s="30" t="s">
        <v>233</v>
      </c>
      <c r="E230" s="53">
        <f>4.735+4.725-0.37-1.095-0.37-0.36-0.365-0.37-0.36-0.73-0.365-0.725-0.36-0.72-0.35-0.02-0.73-0.73+4.87-0.98-0.49-0.495-2.922-1.44+0.017+5.344-0.5-0.97-2.44+4.975-0.39-0.395-2.697-0.49-0.49-0.75-0.48+0.026-0.38-0.387+0.024</f>
        <v>2.0886070650760757E-15</v>
      </c>
      <c r="F230" s="25">
        <v>156000</v>
      </c>
    </row>
    <row r="231" spans="1:6">
      <c r="A231"/>
      <c r="B231" s="30">
        <v>20</v>
      </c>
      <c r="C231" s="30" t="s">
        <v>185</v>
      </c>
      <c r="D231" s="30" t="s">
        <v>233</v>
      </c>
      <c r="E231" s="53">
        <f>3.57+3.43-0.195-0.096+0.003-0.105-0.11-0.11-0.105-0.105-0.295-0.11-0.7-0.2-0.295-0.395-0.105-0.58-0.11-0.1-0.095-0.1-0.105-0.19+1.58+3.55-0.11-0.29-0.1-0.385-0.08-0.31-1.055-0.39-0.095+0.018-0.59-0.3-0.595-0.495-0.1-0.295-0.1-0.49-0.885-0.795-0.105+4.94-3.555-0.1-0.1-0.1-0.106-0.81-0.098-0.102-0.3-0.1+0.031+0.02+3.205+3.2+3.194+0.138+1.422+3.202+3.197+3.195-0.6-0.138-0.59-1.06-0.12-0.12-1.905-0.107-0.117-3.195-0.595-0.12-0.488-3.194-3.202-1.773-0.355-0.36-0.12-0.115-0.48+20.444+0.951-3.242-3.245-0.228-0.124-3.865-3.24-3.247-3.253-0.816-0.365-0.35-0.24-0.48-0.115-0.13+10.512+3.635+3.631-0.14+0.005+3.642-0.135-0.138-0.405-0.135-0.138-0.109-0.016-0.645-1.075-0.272-0.54-0.275-0.135-0.41-0.135-0.135-0.27-0.135-0.135-0.54-1.622-0.135-0.059-0.211-1.078</f>
        <v>12.855999999999979</v>
      </c>
      <c r="F231" s="25">
        <v>137500</v>
      </c>
    </row>
    <row r="232" spans="1:6">
      <c r="A232"/>
      <c r="B232" s="30">
        <v>20</v>
      </c>
      <c r="C232" s="30" t="s">
        <v>349</v>
      </c>
      <c r="D232" s="30" t="s">
        <v>233</v>
      </c>
      <c r="E232" s="53">
        <f>3.493-0.36-0.12-0.465-0.117-0.12-0.235+4.67-0.23-0.355-0.213-0.137-0.24-0.12-0.385-0.23-0.35-0.24-0.49-0.36-2.79-0.36-0.201-0.045+4.135+1.12-0.35-0.56-0.12+3.76+3.63-0.135-0.25-0.25-0.114-0.12-0.255-0.375-0.452-0.375+0.006-0.24-0.355-0.355-0.14-0.25-0.38-1.13-0.14-0.36-0.25+4.955-0.24-0.125-0.48-0.47-0.12-0.24-0.47-0.435-0.045-0.38-0.37-0.375-0.5-0.755-0.252-0.505-0.5-0.502-0.115-0.01-0.492-0.508-0.504-2.232+0.035-0.13+0.07+2.69+2.723+2.735+2.9-0.145-0.58-0.29-0.44-1-0.59-0.145-0.735-0.145-0.855-0.145-1-0.43-0.72-2.16-0.235-0.065-0.145-0.005-0.44-0.57-0.15</f>
        <v>5.7999999999998747E-2</v>
      </c>
      <c r="F232" s="25">
        <v>137500</v>
      </c>
    </row>
    <row r="233" spans="1:6">
      <c r="A233"/>
      <c r="B233" s="30">
        <v>20</v>
      </c>
      <c r="C233" s="30" t="s">
        <v>350</v>
      </c>
      <c r="D233" s="30" t="s">
        <v>233</v>
      </c>
      <c r="E233" s="53">
        <f>0.782-0.55+4.83+3.63-0.14+0.01-0.29-0.145-0.155-0.145-2.945-0.092-0.01-0.048-0.29-0.812-0.078-0.29-0.29-2.755-0.155-0.062+4.64+3.77-0.17-0.32-0.165-0.165-0.155-0.17-0.31-0.305-0.305-0.17-1.54-0.615-0.36+4.9+4.86+4.89-0.332-0.33-1.575-0.13-0.035-0.31-0.485-0.145-4.89-0.01-0.16-0.168-0.165-2.112-0.15-0.16-0.47+0.125-0.488-0.165-0.49-0.328-1.148-1.002-0.175+0.175-0.162+19.42-0.53-12.65-0.166-0.415-0.168-0.81-0.21+0.413+3.934+3.924+3.942+3.93+0.619+3.932-3.924-3.524-0.413-0.164-0.619-0.41-0.415-0.62-0.83-0.62-0.162-1.245-1.865-0.328+2.265+4.534+4.491+4.482+4.5+20.588+4.144-0.167-0.42-0.215-1.665-0.21-0.61-1.04-0.42-1.65-0.159-0.985+0.084-0.88-2.282-2.265-4.534-4.491-0.2-1.5-0.017-0.185-1.32-1.662-0.203-0.19-0.42-0.375-0.21-0.185-2.055-1.492-2.265-2.054-0.62-0.21-0.19-10.496-0.41-1.443-0.625-0.63-0.21+4.297+1.04+14.863-0.415-0.205-1.644-0.417-1.04-0.415-0.205-0.825-0.02-0.34-0.36-0.36</f>
        <v>20.933000000000003</v>
      </c>
      <c r="F233" s="25">
        <v>137500</v>
      </c>
    </row>
    <row r="234" spans="1:6">
      <c r="A234"/>
      <c r="B234" s="28">
        <v>45</v>
      </c>
      <c r="C234" s="30" t="s">
        <v>350</v>
      </c>
      <c r="D234" s="30" t="s">
        <v>233</v>
      </c>
      <c r="E234" s="53">
        <f>3.059</f>
        <v>3.0590000000000002</v>
      </c>
      <c r="F234" s="25">
        <v>137500</v>
      </c>
    </row>
    <row r="235" spans="1:6">
      <c r="A235"/>
      <c r="B235" s="30">
        <v>20</v>
      </c>
      <c r="C235" s="30" t="s">
        <v>351</v>
      </c>
      <c r="D235" s="30" t="s">
        <v>233</v>
      </c>
      <c r="E235" s="53">
        <f>8.701-0.18-0.35-0.175-0.18-0.535-0.126-0.36-0.18-0.355-0.36-0.115-0.18-0.185-1.29-0.195-0.18-2.369-1.411+0.041+3.48-0.3-0.16-0.46-0.165-0.925-1.22+4.88-0.165-0.525-1.045+4.9-3.31-0.01-3.426-0.435+5.195-0.34-0.17-0.22-0.175-0.195-0.22-0.43-0.01-0.18-1.57-0.2+0.041-1.035-1.04-0.35+1.94+2.65+0.18-0.36-1.065-0.024-0.001-0.005-0.14-0.355-0.18-0.87-0.53-1.41-0.13+0.069+4.763+4.757+4.753+4.76+0.236+0.246+0.502-0.246-4.753-4.76-0.502-1.5-0.236-0.5-0.25-0.505+20.114-0.505+0.505-0.25-0.505-0.25-0.25-0.51-0.492-1.01-0.755-0.505-0.25-3.03-1-0.25-3.025-0.25-3.01-0.25-1.005-0.748-0.245-0.756-0.255-1.78-0.75-1.505-1.005-1.76-0.505-0.76+20.638-1.89-1.18-0.71-0.235-0.24-0.235-3.75+18.083-0.24+2.704-0.94-1.015-1.398-0.242-2.785-0.76-0.71-0.502-0.51-0.255-2.35-0.257-0.505</f>
        <v>20.928999999999998</v>
      </c>
      <c r="F235" s="25">
        <v>137500</v>
      </c>
    </row>
    <row r="236" spans="1:6">
      <c r="A236"/>
      <c r="B236" s="30" t="s">
        <v>234</v>
      </c>
      <c r="C236" s="30" t="s">
        <v>351</v>
      </c>
      <c r="D236" s="30" t="s">
        <v>233</v>
      </c>
      <c r="E236" s="53">
        <f>2.475-0.177-0.18-0.53-0.175-0.175-0.535-0.36-0.175-0.18+0.012+2.81+2.81-2.81-2.81+20.23-1.01-0.5-0.5-0.755-0.505-0.76-0.255-0.51-1.02-1.02-2.01-8.875-2.01-0.255-0.255+0.01+19.484-0.25-1-1.25-2.498-2-0.5-0.249-0.25-1.992-0.752-2.75-1.249-1.002-1.5+3.55+3.45+2.92-0.25-1.073-0.353-0.89-0.361-0.891-0.171-0.516-0.178-0.5-0.25-0.75-0.247</f>
        <v>5.7320000000000002</v>
      </c>
      <c r="F236" s="25">
        <v>152500</v>
      </c>
    </row>
    <row r="237" spans="1:6">
      <c r="A237"/>
      <c r="B237" s="30">
        <v>20</v>
      </c>
      <c r="C237" s="30" t="s">
        <v>352</v>
      </c>
      <c r="D237" s="30" t="s">
        <v>233</v>
      </c>
      <c r="E237" s="53">
        <f>2.995-0.2-0.2-0.195-1.015-0.205-1.4+0.22+4.32-0.405-0.61-0.215-0.42-2.05-0.205-0.415+5.987-0.23+11.429+10.674-1.38-0.31-1.125-3.9-0.3-0.69-0.23-0.3-1.187-1.16-0.46-0.3-0.235-0.6-0.58-0.23-0.295-0.7-0.59-0.31-0.59-0.235-0.59-0.23-0.293-0.242-0.295-0.295-0.295-2.375-1.79-0.124-0.806</f>
        <v>4.8179999999999987</v>
      </c>
      <c r="F237" s="25">
        <v>137500</v>
      </c>
    </row>
    <row r="238" spans="1:6">
      <c r="A238"/>
      <c r="B238" s="30">
        <v>20</v>
      </c>
      <c r="C238" s="30" t="s">
        <v>353</v>
      </c>
      <c r="D238" s="30" t="s">
        <v>233</v>
      </c>
      <c r="E238" s="53">
        <f>0.575+3.02+1.28-0.175-0.475+0.075-0.23-0.935-1.067-0.215-1.64-0.24+0.027+2.59+2.6-0.465-0.26-1.17-0.705-0.48-0.24-0.25-0.255-0.225-0.235+4.915-0.465+2.98+2.55-1.23-0.235+0.01-0.47-0.864-0.215-0.02-0.24-0.276-0.29-0.28-0.424-0.146-0.294-0.69-0.24-0.24-0.26-0.23-0.24-0.97-0.144-0.23+0.145-0.145-0.144-0.432-0.145-0.572-0.145-0.285+16.209+4.056-0.345-0.34-0.345-0.68-0.68-0.35-0.338-0.34-0.638-0.042-0.338-0.34-0.34-0.34-0.143-0.35-0.117-0.173-0.345-0.335-1.015-0.345-0.67-3.04-0.34-0.34-0.67-3.72-0.335-0.68-0.34</f>
        <v>2.7949999999999915</v>
      </c>
      <c r="F238" s="25">
        <v>137500</v>
      </c>
    </row>
    <row r="239" spans="1:6">
      <c r="A239"/>
      <c r="B239" s="30" t="s">
        <v>234</v>
      </c>
      <c r="C239" s="30" t="s">
        <v>353</v>
      </c>
      <c r="D239" s="30" t="s">
        <v>233</v>
      </c>
      <c r="E239" s="53">
        <f>1.275-1.295+0.02+2.76+2.53-0.23-0.23-0.925-0.23-1.145-0.255-0.235-2.055+0.015+5+0.22-0.22-0.225-0.225-0.875-3.68+0.005+4.46+0.46+0.22+0.22-0.7-0.475-0.475-2.115-0.22-0.225-0.24-0.91+1.565-0.23-0.23-0.23-0.22-0.655+0.735+4.26-0.49-1.5-0.25-0.245+7.585-1.52-1.02-0.25-0.25-1.005-0.255+0.015-0.255-0.265</f>
        <v>5.29</v>
      </c>
      <c r="F239" s="25">
        <v>161000</v>
      </c>
    </row>
    <row r="240" spans="1:6">
      <c r="A240"/>
      <c r="B240" s="30">
        <v>20</v>
      </c>
      <c r="C240" s="30" t="s">
        <v>354</v>
      </c>
      <c r="D240" s="30" t="s">
        <v>233</v>
      </c>
      <c r="E240" s="53">
        <f>0.555+4.695-0.825-0.838+0.28-1.108-1.111-0.555+4.13+4.15-0.28+0.001-0.775-0.258-1.29-1.04-0.255-0.52-0.25-3.11-0.837-0.517-0.268+0.026+5.485-0.55-1.1-0.55-0.56-1.92+5.38-0.27-1.545-3.575-0.535-0.26+1.07-0.235-0.24-0.53+4.71+4.72-0.265-0.54-0.27+3.67+0.27-0.8-1.315-0.27-0.26-1.58+0.06-0.53-1.055-0.53-2.09-0.065-0.475-2.1-0.26-0.535+5.185-0.535+0.03-0.325-2.235-0.32-1.28-0.32-0.625-0.08+0.635+4.884+4.878+4.894+4.884-0.38-4.884-4.878-0.38-0.38-0.755-1.135-0.38+4.529+4.523+4.535+2.258+4.528-1.13-3.018-1.51-0.38-0.635-1.484-0.026-1.135-3.014-0.76-0.72-0.38-0.001-0.374-0.005-0.38-0.76-0.38-0.76-2.255+0.057-0.38-4.528-3.035+20.643-7.66-1.145-1.15-4.585-0.387-1.15-0.765-0.385-0.02-0.363-0.39+20.3-0.382-1.54-0.385-0.38-0.385-1.128-0.385+0.051-0.38-0.375-0.755-0.38-2.26-0.755-0.752-0.755-1.127-2.632-1.13-1.13-0.375</f>
        <v>6.0359999999999925</v>
      </c>
      <c r="F240" s="25">
        <v>144900</v>
      </c>
    </row>
    <row r="241" spans="1:6">
      <c r="A241"/>
      <c r="B241" s="30">
        <v>20</v>
      </c>
      <c r="C241" s="30" t="s">
        <v>355</v>
      </c>
      <c r="D241" s="30" t="s">
        <v>233</v>
      </c>
      <c r="E241" s="53">
        <f>1.957+3.46+3.45+0.29-0.275-0.265-0.576-0.3-1.44-0.29-0.295-0.3-0.58-0.29-0.295-0.93-1.444-0.561-0.585-0.313+5.1+0.3-0.91-0.295-0.3-0.3-0.61-0.305-0.92-0.174-1.8-0.336+0.092+0.04+4.064+4.065+4.067+4.062+1.541+4.069-3.255-1.216-4.069-2.04-4.065-1.63-0.41-0.41+4.119+4.12+4.119+4.122+4.119+1.648-1.22-1.65-2.469-4.12-0.41-0.83-0.408+4.023+4.016+4.024+0.39-0.81-4.016+2.008+3.62+3.313-0.405-0.394-0.811-0.02-0.815-1.541-0.85-1.143-4.119-0.39-0.405-0.41-0.108-4.122-0.003-0.294-0.405-1.605-3.324-1.999-1.475-0.37-3.113-2.145-0.233-2.015+0.033+21.142-4.102-3.289-0.71-0.36-4.585-2.468-0.355+19.326+0.371-3.53-0.371-0.41-0.825-4.93-1.65</f>
        <v>13.253999999999992</v>
      </c>
      <c r="F241" s="25">
        <v>144900</v>
      </c>
    </row>
    <row r="242" spans="1:6">
      <c r="A242"/>
      <c r="B242" s="30">
        <v>20</v>
      </c>
      <c r="C242" s="30" t="s">
        <v>356</v>
      </c>
      <c r="D242" s="30" t="s">
        <v>233</v>
      </c>
      <c r="E242" s="53">
        <f>6.305-0.595-0.59-0.595-2.1-0.3-0.3-0.305-0.305-0.3-0.01-0.29-0.625+0.005+0.005+3.63+0.89+3.03-0.31-2.13-0.605-0.31-0.89-0.605-0.275-2.455+0.03+0.29+0.3+2.2+2.2-0.29-0.3-2.2-2.2+1.24+3.46+0.31+2.13-0.31-1.245+0.005-0.615-0.32+3.11-0.625-1.905+5.26-2.495-0.315-0.715-0.62-0.895-0.035-1.405-0.36-0.62+0.045-2.11-0.35-0.352+0.032+5.125-0.315+0.015+3.95-2.205+1.22-0.73-0.912-3.042+0.004-0.606-1.095-0.74-0.355-0.62+0.006+4.417+4.417+4.415+4.416+2.649-0.445-1.325-0.445-0.89-2.21-0.439-0.006-3.54-0.445-2.21-0.445-0.445-0.89-1.291-0.489-0.445-0.445+20.047-0.432-0.013+0.402+5.666+5.61-4.42-4.42-2.4-1.78-2.215-1.215-2.45-0.402-0.445-0.82+18.627-1.34+2.671-0.89-1.289-0.013-0.028-0.41-0.354-0.091-0.45-0.445-0.81-0.445-0.445-0.45</f>
        <v>28.46</v>
      </c>
      <c r="F242" s="25">
        <v>144900</v>
      </c>
    </row>
    <row r="243" spans="1:6">
      <c r="A243"/>
      <c r="B243" s="30">
        <v>20</v>
      </c>
      <c r="C243" s="30" t="s">
        <v>357</v>
      </c>
      <c r="D243" s="30" t="s">
        <v>233</v>
      </c>
      <c r="E243" s="53">
        <f>1.235-0.945+4.93-0.335-1.975-0.67-0.66-0.99-0.33+0.03-0.316+0.026+4.93-1.64-2.97-0.32+7.045+2.905-0.695-2.145-1.075-2.495-0.36-0.35+0.075-0.365-0.365-2.195+0.02+5.25+4.51-2.43+0.02-2.266-0.32-1.295-0.4-2.015-0.405-0.652+0.003+6.83+2.95+3.59+3.795-0.66-0.335-0.33-3.24-0.655-0.97-2.39-1.405-2.765-1.035-0.69-0.35-0.34-0.35-1.03-0.33+10.464-0.838-1.7-0.425-1.258-0.424+3.05+7.01-0.835-0.42-1.31-0.44-0.423-0.445-0.424-2.943-0.422-1.315-0.88-0.855-0.015-0.445-0.88-0.44-0.88-0.88</f>
        <v>1.9169999999999976</v>
      </c>
      <c r="F243" s="25">
        <v>144900</v>
      </c>
    </row>
    <row r="244" spans="1:6">
      <c r="A244"/>
      <c r="B244" s="30">
        <v>20</v>
      </c>
      <c r="C244" s="30" t="s">
        <v>358</v>
      </c>
      <c r="D244" s="30" t="s">
        <v>233</v>
      </c>
      <c r="E244" s="53">
        <f>5.34-1.575-0.315+0.01-0.315-0.315-0.32-0.33-0.63-0.32-0.63-0.315-0.32+0.035+5.015-0.345-0.335-0.335-0.33-1.015-0.69-0.335-0.355-1.34+0.065+4.78-0.32-0.325-0.64-3.175-0.32+10.582-1.39-5.074-0.93-0.925-0.935+5.232-1.06-0.935+5.15-1.05-0.695-0.095-0.35-1.035-0.69-0.35-0.345-1.02</f>
        <v>4.0849999999999991</v>
      </c>
      <c r="F244" s="25">
        <v>144900</v>
      </c>
    </row>
    <row r="245" spans="1:6">
      <c r="A245"/>
      <c r="B245" s="30">
        <v>20</v>
      </c>
      <c r="C245" s="30" t="s">
        <v>785</v>
      </c>
      <c r="D245" s="30" t="s">
        <v>233</v>
      </c>
      <c r="E245" s="53">
        <f>19.703-0.115-1.05-0.12-0.685-1.02-1.484-0.251-0.12-0.115-1.484-1.6-0.099-0.131-0.115-1.484-1.484-0.172-0.546-1.484+0.091-0.055-0.69-0.082-0.038-0.12-0.23-0.58-0.46-0.695-0.575-0.46-0.575-1.05-0.1-0.015-0.094-0.026+10.812-0.012-0.898-5.125-1.92-0.12+2.06+2.808-0.372+10.57-0.097-0.115-0.57-2.06-0.48-0.101-0.355-4.245-0.096-0.102-5.285-0.655-0.46-3.593+0.081+0.02+0.19+6.87-2.035</f>
        <v>5.1049999999999978</v>
      </c>
      <c r="F245" s="25">
        <v>139000</v>
      </c>
    </row>
    <row r="246" spans="1:6">
      <c r="A246"/>
      <c r="B246" s="30" t="s">
        <v>234</v>
      </c>
      <c r="C246" s="30" t="s">
        <v>785</v>
      </c>
      <c r="D246" s="30" t="s">
        <v>233</v>
      </c>
      <c r="E246" s="53">
        <v>0</v>
      </c>
      <c r="F246" s="25">
        <v>149000</v>
      </c>
    </row>
    <row r="247" spans="1:6">
      <c r="A247"/>
      <c r="B247" s="30">
        <v>20</v>
      </c>
      <c r="C247" s="30" t="s">
        <v>359</v>
      </c>
      <c r="D247" s="30" t="s">
        <v>233</v>
      </c>
      <c r="E247" s="53">
        <f>5.059-0.235-0.35-0.242-0.125-0.235-0.13-1-0.615-0.365-0.1-0.108+4.894-1.99-0.465-0.11-0.84-0.13-1.06-0.045-0.035-1.18-0.237-0.213+0.031+0.455-0.23-0.115-0.11-0.174+9.981-0.132-0.386-0.257-0.522-0.131-0.897-1.28</f>
        <v>6.3760000000000021</v>
      </c>
      <c r="F247" s="25">
        <v>137500</v>
      </c>
    </row>
    <row r="248" spans="1:6">
      <c r="A248"/>
      <c r="B248" s="30">
        <v>20</v>
      </c>
      <c r="C248" s="30" t="s">
        <v>186</v>
      </c>
      <c r="D248" s="30" t="s">
        <v>233</v>
      </c>
      <c r="E248" s="53">
        <f>3-0.125-0.488-0.246-0.352-0.128-0.35-0.23+0.58-0.21+17.709-0.003-0.732-0.023-0.137+2.663-0.125+0.012-0.565-0.121-0.14-0.14-0.58-1.818-0.145-0.565-3.096-0.14-0.145-0.435-0.15-1.28-0.43-1.285-4.43-5.35+14.857+6.382+1-0.43-0.86+2.18+0.78-0.715-0.29-2.695-0.145-2.4-0.145-0.282-0.285-0.27-0.71-0.13-0.281-0.009-0.145-0.38-0.165-2.55-0.14-0.525-0.14-0.63-0.705-0.39-0.706-0.145+0.043-0.125-0.14</f>
        <v>8.7089999999999979</v>
      </c>
      <c r="F248" s="25">
        <v>137500</v>
      </c>
    </row>
    <row r="249" spans="1:6">
      <c r="A249"/>
      <c r="B249" s="30" t="s">
        <v>234</v>
      </c>
      <c r="C249" s="30" t="s">
        <v>186</v>
      </c>
      <c r="D249" s="30" t="s">
        <v>233</v>
      </c>
      <c r="E249" s="53">
        <f>7.435-1.22-0.105-1.39-0.105-0.215-0.425-0.14-0.282-0.11-0.325-0.28-0.835-0.14-0.208-0.752-0.11-0.535+3.48+1.31-0.77-0.115-0.79-0.11-0.115-0.12-0.115-0.34-0.22-1.49-0.22-0.015-0.023-0.175-0.017-0.215+2.71+2.326+2.7+2.07-0.365+0.21-0.248+3.7-1.105-0.248-0.615-1.456-2.326-0.004-0.21-3.7-0.126+0.008-1.36+4.925-0.615-0.371-0.975-0.124-3.026-0.222-0.116-0.452-0.228+20.177-0.148-0.145-0.288-0.146-0.23-2.856-0.34+0.34-0.29-0.146-0.57-1.148-0.144-0.146-0.573-0.286-0.338+0.027-0.286-0.146-0.34-0.146-0.146-0.146-0.43-0.432-0.14-2.454-0.142-0.145-1.87-0.86-4.587-0.144-0.142-0.142-0.712-0.288+0.067+20.188-0.14-2.667-0.42-2.249-0.14-0.14-0.84-0.559-0.42-0.56-1.543-0.14-0.565-0.28+5.055-1.134-0.413-0.001-0.565</f>
        <v>12.54099999999999</v>
      </c>
      <c r="F249" s="25">
        <v>157500</v>
      </c>
    </row>
    <row r="250" spans="1:6">
      <c r="A250"/>
      <c r="B250" s="30">
        <v>20</v>
      </c>
      <c r="C250" s="30" t="s">
        <v>47</v>
      </c>
      <c r="D250" s="30" t="s">
        <v>233</v>
      </c>
      <c r="E250" s="53">
        <f>16.884-0.31-0.62-3.586-0.93-0.922-0.465-0.31-2.015-1.405-1.955+0.753+18.731+2.812-1.761-0.284-0.465-0.157-0.577-4.671-0.16-0.93-1.255-1.72-0.625-0.625-0.16-0.155-0.31-0.156-0.626+0.007-0.176-0.616-1.565-0.315-0.16-0.78-0.921-0.009-0.16-0.16-1.095-1.09</f>
        <v>4.9850000000000083</v>
      </c>
      <c r="F250" s="25">
        <v>137500</v>
      </c>
    </row>
    <row r="251" spans="1:6">
      <c r="A251"/>
      <c r="B251" s="30" t="s">
        <v>234</v>
      </c>
      <c r="C251" s="30" t="s">
        <v>47</v>
      </c>
      <c r="D251" s="30" t="s">
        <v>233</v>
      </c>
      <c r="E251" s="53">
        <v>0</v>
      </c>
      <c r="F251" s="25">
        <v>147500</v>
      </c>
    </row>
    <row r="252" spans="1:6">
      <c r="A252"/>
      <c r="B252" s="30">
        <v>20</v>
      </c>
      <c r="C252" s="30" t="s">
        <v>48</v>
      </c>
      <c r="D252" s="30" t="s">
        <v>233</v>
      </c>
      <c r="E252" s="53">
        <f>32.366-0.245-0.56-3.87-2.04-2.255-2.821-0.57-0.586-0.978+16.76+5.785-0.75-0.005-0.95-0.39-0.57-1.53-1.166-0.392+0.038-0.385-1.7+8.54-0.198-0.95-0.58-0.965-0.17-0.575-0.235-0.185-0.515-1.7-0.945-0.63-0.106-0.426-0.21-0.158-0.032-1.05-1.52-0.155-0.445-0.01-7.34-5.21-1.73-0.095-0.195+0.062-0.42-1.85-0.19-0.215-0.19-0.19-0.19-0.765-0.63-0.19-0.845+1.944-1.57-2.71-0.585+17.551-0.374-0.395-1.255-0.211-0.186-0.004-0.78-1.185-1.586-0.38+21.81-0.225-0.21-0.195-0.775-1.125-0.225-1.34-0.45-0.22-0.195-0.195-0.67-0.23-0.201-0.024-1.12-0.21-0.235-0.23-0.21-0.206-0.024-0.39-0.585-0.675-2.226-1.784-0.39+21.412-0.2-0.195-0.088-0.102-0.195-0.39-1.555-0.195-0.225-0.67-0.45-20.117-12.974+0.02-0.225-0.442-0.008-0.67-8.033+20.554-1.645-0.415-0.205-0.21-0.205</f>
        <v>17.873999999999963</v>
      </c>
      <c r="F252" s="25">
        <v>137500</v>
      </c>
    </row>
    <row r="253" spans="1:6">
      <c r="A253"/>
      <c r="B253" s="30" t="s">
        <v>234</v>
      </c>
      <c r="C253" s="30" t="s">
        <v>48</v>
      </c>
      <c r="D253" s="30" t="s">
        <v>233</v>
      </c>
      <c r="E253" s="53">
        <f>6.072-0.19-1.01-0.17-0.167-0.335-0.35-0.34-0.19-0.355-0.243-0.097-1.54-0.522-0.47-0.028-0.065-0.11+0.11+4.91+0.565-0.195-1.52-3.215-0.175-0.015-0.195-0.195+0.035+5.194+4.696+0.178-0.762-0.198-0.198-0.198-1.754-0.188-0.174-0.196-0.788+4.06+4.235-2.055-4.06-1.966-0.2-0.2+1.395+4.175+4.205-0.47-1.395-4.175-4.205-1.322-1.23-0.392-0.394-0.178-1.726+0.27+0.016+7.34+10.994-0.97-2.9-0.195-0.58-0.195-0.385-0.195-0.58+3.873+3.881+3.876+1.43+3.888+3.873-0.205-1.84-0.205-0.205-0.205-0.205-1.23-0.615-1.43-0.41-1.024-3.876-1.025-0.82-2.05-0.205-1.008-0.632-0.807-0.013-3.48-0.41-0.181-0.029-0.234-0.381-0.395-0.205-0.194-0.38-0.03-0.21-1.93-1.895-4.44-0.82+0.069+3.38+3.375+3.37-0.805-0.16-0.485-0.16-0.32-1.45-3.375-3.37+4.985+2.31-1.566-0.595-0.597+3.165-0.646-0.301-0.16+2.57+2.395-2.57-0.155+0.008-0.161-0.175-0.485-0.35-0.34</f>
        <v>7.3320000000000043</v>
      </c>
      <c r="F253" s="25">
        <v>152500</v>
      </c>
    </row>
    <row r="254" spans="1:6">
      <c r="A254"/>
      <c r="B254" s="30">
        <v>20</v>
      </c>
      <c r="C254" s="30" t="s">
        <v>360</v>
      </c>
      <c r="D254" s="30" t="s">
        <v>233</v>
      </c>
      <c r="E254" s="53">
        <f>22.445-0.27-0.55-0.28-1.915-1.089-0.275-1.366-0.239-0.055-2.19-0.55-1.375-0.275-1.37-0.555-0.269-8.514-1.1+0.067-0.275+0.256+2.447+4.331+4.346+4.315+4.337-0.55-0.256-0.28+4.162+4.156+3.372+4.156-0.27-0.55-1.3-0.265-0.54-1.57-1.36-0.275-0.52-0.27-1.082-1.635-0.78-0.27-1.55-0.237-0.023-0.265-0.525-1.08-2.16-0.265-1.35-0.79-0.265-0.265-2.1-3.14-1.09-1.016-0.034-0.275-0.275-0.275+21.09-2.161-0.284-0.006-1.065-0.545-0.535-0.228-0.032-0.545-1.08-0.531-0.26+0.119-0.275-0.28-0.555-0.56-0.28-1.665-0.275-3.605-0.257-0.016-0.55-0.28-0.253-0.298-0.28-0.835-1.39-0.835-0.263-0.253-0.599-2.495-0.28</f>
        <v>4.6829999999999963</v>
      </c>
      <c r="F254" s="25">
        <v>137500</v>
      </c>
    </row>
    <row r="255" spans="1:6">
      <c r="A255"/>
      <c r="B255" s="30" t="s">
        <v>234</v>
      </c>
      <c r="C255" s="30" t="s">
        <v>360</v>
      </c>
      <c r="D255" s="30" t="s">
        <v>233</v>
      </c>
      <c r="E255" s="53">
        <f>2.655+2.465-0.191-0.375-0.196-0.566-0.187-0.385-0.386-0.21-2.465</f>
        <v>0.15899999999999981</v>
      </c>
      <c r="F255" s="25">
        <v>152500</v>
      </c>
    </row>
    <row r="256" spans="1:6">
      <c r="A256"/>
      <c r="B256" s="30">
        <v>20</v>
      </c>
      <c r="C256" s="30" t="s">
        <v>361</v>
      </c>
      <c r="D256" s="30" t="s">
        <v>233</v>
      </c>
      <c r="E256" s="53">
        <f>20.507-0.32-0.27-0.27-0.315-0.325-3.177-1.071-0.002-1.28-3.811-0.256-0.275-1.93-6.976+18.846+1.872-0.31-0.32-0.646-0.32-0.324-0.315-0.315-0.325+0.096-0.32-0.31-0.32-0.31-0.325-0.642-1.272-6.07-8.29+0.003-0.312+20.264-0.325-3.882-2.177-0.65-0.97-0.32-0.313-0.325-0.08-0.242-0.003+20.43-0.325-0.325-3.899-3.894-3.889-0.325-0.645-1.607-0.29-0.325-0.325-0.97-2.59-0.317-0.975-0.296-0.029-0.325-0.325-0.325-0.325-0.325-0.65-0.973-0.008-0.655</f>
        <v>6.4700000000000069</v>
      </c>
      <c r="F256" s="25">
        <v>137500</v>
      </c>
    </row>
    <row r="257" spans="1:6">
      <c r="A257"/>
      <c r="B257" s="30">
        <v>20</v>
      </c>
      <c r="C257" s="30" t="s">
        <v>786</v>
      </c>
      <c r="D257" s="30" t="s">
        <v>233</v>
      </c>
      <c r="E257" s="53">
        <f>4.07+3.81+0.24-0.24-0.77-0.51-0.765-2.535-3.31+0.01+0.78+5.19+4.43+4.925+3.55-1.93-2.19-0.26-0.265-0.785-0.79-1.94-0.26-1.04-1.825-1.04-0.825-0.26-0.26-1.035-1.015-1.055-0.805-0.03-0.525+0.015-0.755+4.371+4.359+4.367+4.372+1.819-1.819-0.36-1.09+0.081-4.372-2.998-0.73-0.365-1.09-0.73-0.365-1.091-4.359+20.342-1.856-1.494-0.748-0.745-1.115-2.23-0.38-4.086-0.74-1.115-0.74-1.11-0.37-0.372-1.48-1.855+0.094+20.553-3.243-1.8-4.335-0.72-3.608-0.36-2.162+2.162-0.36-1.44-1.08-1.083-0.72-0.362+20.971-0.74-0.74-3.309-0.735-0.74-2.196-4.411-0.74-0.735-0.37-0.37-0.006-1.089-0.005-0.375-2.57-1.84-1.44-0.002+21.266-1.87-0.375-0.745-1.12-0.746-0.745-1.12-1.12-1.493-1.865-0.745-0.745-4.481-0.366-0.004</f>
        <v>3.7260000000000018</v>
      </c>
      <c r="F257" s="25">
        <v>146000</v>
      </c>
    </row>
    <row r="258" spans="1:6">
      <c r="A258"/>
      <c r="B258" s="30" t="s">
        <v>234</v>
      </c>
      <c r="C258" s="30" t="s">
        <v>786</v>
      </c>
      <c r="D258" s="30" t="s">
        <v>233</v>
      </c>
      <c r="E258" s="53">
        <f>5.31-0.23+6.279-0.246-0.482-0.484-0.968-0.736-0.238-0.486-0.26-0.726-5.01-0.242+4.814-1.009-0.482+0.01-0.255-1.276-1.01-0.495-1.005-0.005-0.01-0.255-0.265+4.535+5.04+0.49-0.238-0.25</f>
        <v>9.8149999999999995</v>
      </c>
      <c r="F258" s="25">
        <v>152500</v>
      </c>
    </row>
    <row r="259" spans="1:6">
      <c r="A259"/>
      <c r="B259" s="30">
        <v>20</v>
      </c>
      <c r="C259" s="30" t="s">
        <v>787</v>
      </c>
      <c r="D259" s="30" t="s">
        <v>233</v>
      </c>
      <c r="E259" s="53">
        <f>5.114+4.02+0.56+3.97-0.288+0.286-4.02-0.56-1.408+0.013-1.712-2.55-2.291-0.564-0.286-0.29+0.019-0.013+2.8+2.52-0.285-0.56-0.57-0.56-0.285-0.29-0.57+4.82-2.83-0.57-0.84-1.4-0.57-0.01-0.26-0.015-0.29-0.29+0.055+5.825+4.915-5.825-4.915+2.47+4.925+2.47-1.56+4.61-0.655-2.47-0.94-4.61-2.49+0.03-0.31-0.31+0.92-0.31-0.31-0.615+0.075-0.61+1.609+4.026+4.033+4.023+4.022+4.013-0.32+0.01-1.21-0.399+5.19+5.16-0.65-0.41-0.815-0.405-0.65-0.33-0.33-0.405-0.326-3.255+0.021-2.57-0.415-0.32-0.405-0.405-1.215-4.013-1.21-0.405-0.81-0.405-0.361-0.044-4.022-0.808-0.349-0.056-0.405-0.405-0.405-0.81-0.81-0.325+9.84-0.325-0.36-1.77-0.36-0.71-0.405+0.081-0.715-0.35+6.13-0.36-0.623-0.63-0.92-0.322-0.31-0.315-0.355-0.355-0.31-0.325-2.48</f>
        <v>5.6900000000000048</v>
      </c>
      <c r="F259" s="25">
        <v>147500</v>
      </c>
    </row>
    <row r="260" spans="1:6">
      <c r="A260"/>
      <c r="B260" s="30" t="s">
        <v>234</v>
      </c>
      <c r="C260" s="30" t="s">
        <v>787</v>
      </c>
      <c r="D260" s="30" t="s">
        <v>233</v>
      </c>
      <c r="E260" s="53">
        <f>1.12-0.38-0.07-0.67+0.85-0.34-0.174-0.346+0.01+5.381-0.57-4.811+0.279+21.272-0.4-1.19-0.4-0.4-0.4-0.4-0.4-0.4-1.19-1.975-0.384-0.016-0.395-0.394-0.395-1.97-0.4-0.366-0.034-0.395-0.395-0.395-0.279-2.37-0.395-0.348-0.047</f>
        <v>5.4180000000000064</v>
      </c>
      <c r="F260" s="25">
        <v>164500</v>
      </c>
    </row>
    <row r="261" spans="1:6">
      <c r="A261"/>
      <c r="B261" s="30">
        <v>20</v>
      </c>
      <c r="C261" s="30" t="s">
        <v>788</v>
      </c>
      <c r="D261" s="30" t="s">
        <v>233</v>
      </c>
      <c r="E261" s="53">
        <f>1.25+3.69+0.655+3.705-2.007-0.312-1.02-0.34-0.325-0.323-0.33-3.705-0.316-0.341-0.314+0.033+5.12-0.58-4-0.565+0.025+15.24-3.51-0.61-0.94-0.32-0.96-1.27-1.276-0.635+5.32+5.31-1.02-0.34-0.32-0.34+4.83-0.665-0.675-0.324-0.69-0.324-0.325-0.67-0.97-0.675-0.34-0.34-0.322-0.325-0.32-2.335-1.01-0.325-0.33-0.67-0.32-0.335+0.05-0.314-0.008-0.318-0.35+0.105-0.32-0.642-0.322-2.565-0.32-0.642-0.326-0.325-0.277-0.368+0.073+22.339-6.245-2.235-0.451-0.45-0.895-0.45-0.45-10.273-0.45-0.44+4.478+4.487+2.635+0.451+0.421+4.48+4.48-1.35-0.451-0.421-0.45-5.83-0.445-3.128-4.487-0.835-1.845+20.454-3.108-0.445-1.335-1.34-0.446-5.34-2.19-0.895-1.34-1.345+21.694-4.529-3.605-0.904-2.265-4.518-4.52-0.448-3.575-0.453-0.446-0.45-0.45</f>
        <v>0.39100000000000396</v>
      </c>
      <c r="F261" s="25">
        <v>147500</v>
      </c>
    </row>
    <row r="262" spans="1:6">
      <c r="A262"/>
      <c r="B262" s="28" t="s">
        <v>1031</v>
      </c>
      <c r="C262" s="30" t="s">
        <v>788</v>
      </c>
      <c r="D262" s="30" t="s">
        <v>233</v>
      </c>
      <c r="E262" s="53">
        <f>10.85</f>
        <v>10.85</v>
      </c>
      <c r="F262" s="25">
        <v>170000</v>
      </c>
    </row>
    <row r="263" spans="1:6">
      <c r="A263"/>
      <c r="B263" s="30">
        <v>20</v>
      </c>
      <c r="C263" s="30" t="s">
        <v>362</v>
      </c>
      <c r="D263" s="30" t="s">
        <v>233</v>
      </c>
      <c r="E263" s="53">
        <f>2.475-0.34-0.015-0.71-0.356+0.72+4.695-0.72-0.725-0.36-0.7-0.365-0.36-0.35-0.356-0.725-0.37+2.4+2.73-0.37-0.72-0.36-0.306+0.012-1.235-0.9-0.305-0.554-1.558-0.306+0.034+4.76+0.34-0.34-0.68+5.135-0.345-0.34-0.35-1.02-1.11-0.37-0.34-0.34+0.745-0.375-2.205-0.34-0.365-1.02-0.73+0.02+0.015-0.745+5-1.99+8.8-0.331-0.74-1.11-0.335-0.36-0.74+2.545-0.375+2.955-0.35-0.747-1.115-0.375-0.375-0.372-0.32-0.74-0.74-0.38-1.485-0.35-0.345-0.735-1.105-0.365-0.34-0.38-0.37+0.047-0.33+5.075-0.34+0.031-0.375-0.735-2.545-1.095-0.375+0.022-0.375-0.715+0.1-0.72+19.585-0.935+8.121-0.94-0.465-1.4-0.935-0.94-0.94-0.47-0.47-0.465-0.935-0.94-0.94-1.41-0.475-0.475-1.41-0.48-0.35-0.47-0.465-1.845-0.47-0.465-0.445-0.48-1.05-2.105-0.7-0.355-0.705-0.35-0.695-1.331-0.35+5.17+5.16-1.115-3.335-2.225+4.63-0.36-0.36+20.316+0.266-0.367-1.835-0.37-1.04-0.37-2.644</f>
        <v>21.570999999999991</v>
      </c>
      <c r="F263" s="25">
        <v>147500</v>
      </c>
    </row>
    <row r="264" spans="1:6">
      <c r="A264"/>
      <c r="B264" s="30">
        <v>20</v>
      </c>
      <c r="C264" s="30" t="s">
        <v>363</v>
      </c>
      <c r="D264" s="30" t="s">
        <v>233</v>
      </c>
      <c r="E264" s="53">
        <f>5.415+0.745+1.105-0.32+0.005+2.315+0.38-0.77-0.78-0.345-2.045-0.38-0.342-0.385-0.39+0.01-0.345-0.372-0.742-1.37-0.363-0.011-0.34-0.368+0.006-0.344+0.031+7.01+0.74+5.13+0.77-0.37-0.38+0.01-0.785-1.025-0.345-0.69-1.185-2.06-0.4-0.405-1.585-0.405-0.785-1.175-0.395+0.025-0.2-0.835-0.39-0.41+0.14+5.183-1.1-0.735-0.37-0.36-1.105-0.38-0.74-0.365-0.028+4.294-1.145-0.4-0.39-0.39-0.39+9.57+0.7-0.775-0.7-0.39+0.768-0.78-0.38-3.085-0.39-0.38-0.77+5.628-0.402-2.02-0.409-0.78+0.012-2.035-0.395-1.54-1.156+5.176-0.39+6.16-3.3-0.77-0.393-0.47-0.046</f>
        <v>7.836999999999998</v>
      </c>
      <c r="F264" s="25">
        <v>147500</v>
      </c>
    </row>
    <row r="265" spans="1:6">
      <c r="A265"/>
      <c r="B265" s="30">
        <v>20</v>
      </c>
      <c r="C265" s="30" t="s">
        <v>364</v>
      </c>
      <c r="D265" s="30" t="s">
        <v>233</v>
      </c>
      <c r="E265" s="53">
        <f>3.67-0.035-0.315+0.015-1.005-0.365-0.675-0.995-0.005-0.34+0.05+2.72+2.725-0.393-2.327-2.738+0.013+5.2-2.315-1.75-1.125-0.01+11.076-1.85-0.94-0.92-0.475-0.465-1.86-0.915-0.465-0.94+5.186-1.885-2.36-0.48-0.461-2.314+0.068</f>
        <v>4.3853809472693683E-15</v>
      </c>
      <c r="F265" s="25">
        <v>156000</v>
      </c>
    </row>
    <row r="266" spans="1:6">
      <c r="A266"/>
      <c r="B266" s="30">
        <v>20</v>
      </c>
      <c r="C266" s="30" t="s">
        <v>988</v>
      </c>
      <c r="D266" s="30" t="s">
        <v>233</v>
      </c>
      <c r="E266" s="53">
        <f>4.88-1.092-0.545-0.546-0.546-2.19+0.039+5.8-1.55-1.172-1.54-0.382-0.77+10.992-0.386-4.14-0.93+5.295+5.29-0.92-0.46-0.44-1.765-0.445-0.88-1.76</f>
        <v>9.8369999999999997</v>
      </c>
      <c r="F266" s="25">
        <v>156000</v>
      </c>
    </row>
    <row r="267" spans="1:6">
      <c r="A267"/>
      <c r="B267" s="30">
        <v>20</v>
      </c>
      <c r="C267" s="30" t="s">
        <v>365</v>
      </c>
      <c r="D267" s="30" t="s">
        <v>233</v>
      </c>
      <c r="E267" s="53">
        <f>4.025+0.875-0.448-0.45-0.05-0.45-0.875-0.456-1.35-0.846+0.025</f>
        <v>-2.4286128663675299E-16</v>
      </c>
      <c r="F267" s="25">
        <v>156000</v>
      </c>
    </row>
    <row r="268" spans="1:6">
      <c r="A268"/>
      <c r="B268" s="30">
        <v>20</v>
      </c>
      <c r="C268" s="30" t="s">
        <v>50</v>
      </c>
      <c r="D268" s="30" t="s">
        <v>233</v>
      </c>
      <c r="E268" s="53">
        <f>9.668-0.125-0.25-1.12+9.704-1.4-0.47-0.12-5.49-0.242-0.352-0.46-2.11-2.116-1.246+15.064+5.46-1-0.363-0.125-4.53-0.125-0.125-0.121-0.125-5.89-5.21+0.005+0.006-0.125-0.25-0.985-1.115-0.125-0.12-0.12-0.245-0.125-1.01+9.91-1.179-0.346-0.125-9.91+10.035-0.2-0.235-2.305-0.345-0.35+9.985-0.23-0.125-3.366-4.561-1.025-0.235-4.389-0.36-0.04-0.043-0.037+7.956+0.284-1.035-2.085-4.065+4.972-0.095-0.475-2.11-0.625-0.315-1.665-0.094-2.367-0.249+0.045</f>
        <v>1.1730000000000045</v>
      </c>
      <c r="F268" s="25">
        <v>152500</v>
      </c>
    </row>
    <row r="269" spans="1:6">
      <c r="A269"/>
      <c r="B269" s="30" t="s">
        <v>234</v>
      </c>
      <c r="C269" s="30" t="s">
        <v>50</v>
      </c>
      <c r="D269" s="30" t="s">
        <v>233</v>
      </c>
      <c r="E269" s="53">
        <f>18.533-1.135-10.202-0.324-0.11-0.103-0.12-0.938+4.934+4.95+4.958+4.986+9.238-4.64-0.22-0.325-0.105-1.715-0.96-0.32-2.39-0.65-0.112-0.225-1.5-0.23-0.64-0.039-0.121-1.323+0.002-0.106-7.968-0.218-0.106-7.008-1.687-0.713+19.968-0.402-0.098-0.1-0.1-2.018-1.59-0.21-1.016-0.654-4.998-4.962-0.035-1.297-0.798-0.43-0.23-0.115+9.856-0.105-0.535-0.4-0.33-0.76-0.918-0.54+5.046-0.642-0.6-0.11-0.106-0.207-0.11-0.326-1.282-0.212-0.11-0.106-0.431-0.221-0.211-0.431-1.183-0.814+9.908-0.231+10.666-0.116-0.345-0.115-0.103-7.103-0.111-0.3-0.83-0.345-0.121-0.46-0.115-0.115</f>
        <v>16.638999999999999</v>
      </c>
      <c r="F269" s="25">
        <v>157500</v>
      </c>
    </row>
    <row r="270" spans="1:6">
      <c r="A270"/>
      <c r="B270" s="30">
        <v>20</v>
      </c>
      <c r="C270" s="30" t="s">
        <v>366</v>
      </c>
      <c r="D270" s="30" t="s">
        <v>233</v>
      </c>
      <c r="E270" s="53">
        <f>35.32-0.12-0.234-1.092+0.01+9.624-1.65-1.375-1.501-1.236-1.785-0.098-0.81-0.12-0.23-3.496-0.81-1.165-1.49-0.235-0.122-0.49-0.214-0.362-1.484-2.07-0.124-3.85-1.98-0.12-0.48-4.208-1.007-0.714-0.242-4.89-4.825-0.242+0.015+0.64+2.745+3.255+5.57+2.77+15.02-0.82-0.55-0.14-0.64-2.745-1.745-0.815-0.685-1.505-10.135-2.77-2.456-4.885+20.975-0.135-0.265+1.732-1.05-0.265-0.265-0.135-0.395-0.13-0.26-0.395+10.726+2.418+7.261-0.257-0.135-0.13-0.13-0.126-0.13-0.386-0.525-3.136-0.766-2.357-0.63-1.155-2.111-0.109-0.67-0.675-0.387</f>
        <v>26.209000000000014</v>
      </c>
      <c r="F270" s="25">
        <v>137500</v>
      </c>
    </row>
    <row r="271" spans="1:6">
      <c r="A271"/>
      <c r="B271" s="30" t="s">
        <v>234</v>
      </c>
      <c r="C271" s="30" t="s">
        <v>366</v>
      </c>
      <c r="D271" s="30" t="s">
        <v>233</v>
      </c>
      <c r="E271" s="53">
        <f>0.52-0.135-0.125-0.275+0.015+1.17+1.82+0.63+1.78-1.82-0.69+4.05+0.838-1.225-0.555-0.055-2.39-1.67-0.63+0.01-0.365-0.473+10.344-0.46-0.824-0.19-0.608-0.85-1.092-0.124+9.928+7.63-2.314-4.32-0.968-5.36-1.446-4.12-0.367+0.029-1.32-0.448-3.31+10.724-0.125-0.82</f>
        <v>10.013999999999999</v>
      </c>
      <c r="F271" s="25">
        <v>142500</v>
      </c>
    </row>
    <row r="272" spans="1:6">
      <c r="A272"/>
      <c r="B272" s="28">
        <v>10</v>
      </c>
      <c r="C272" s="30" t="s">
        <v>51</v>
      </c>
      <c r="D272" s="30" t="s">
        <v>233</v>
      </c>
      <c r="E272" s="53">
        <f>0.26</f>
        <v>0.26</v>
      </c>
      <c r="F272" s="25">
        <v>137500</v>
      </c>
    </row>
    <row r="273" spans="1:6">
      <c r="A273"/>
      <c r="B273" s="30">
        <v>20</v>
      </c>
      <c r="C273" s="30" t="s">
        <v>51</v>
      </c>
      <c r="D273" s="30" t="s">
        <v>233</v>
      </c>
      <c r="E273" s="53">
        <f>54.669-0.135-1.345-1.32+1.325-1.173-0.254-2.779-0.885-1.03-0.15-0.134-0.605-1.935-10.989-1.645-0.183-0.107+8.34+1.605+11.119-2.238-2.782-4.212-0.56-0.15-0.88-5.112-0.15-0.145-5.045-0.295-0.538-1.318-1.605-0.44-1.472-2.973-1.028-3.42-0.52-1.173-1.02-5.155-0.44+0.116-0.145+19.614-0.759-0.007-0.264-0.333-0.389-0.008-0.145-2.015-0.865-2.739-0.283-0.15-0.715+10.816-0.3-2.133-0.442-2.553-0.29-0.145-5.183-0.43-0.43-1.275-2.59-0.722-0.13-1.293-0.292-0.57-0.27-2.327+0.006-0.425-0.003-0.002+18.222-3.888-0.15-2.003+1.159-2.273-0.74-0.15-0.15-0.26-1.14-0.43-2.704-1.14-0.425-0.557-0.145-1.28-0.99-0.145-0.281-0.004-0.424-0.136-4.38-0.14+0.136-5.265+0.011+0.16+20.848-1.845-0.925+11.042-1.043+10.807-1.2-0.705-13.454-1.676-0.282-3.681-1.26-2.115-0.155-2.958-0.135</f>
        <v>11.398999999999994</v>
      </c>
      <c r="F273" s="25">
        <v>137500</v>
      </c>
    </row>
    <row r="274" spans="1:6">
      <c r="A274"/>
      <c r="B274" s="30" t="s">
        <v>234</v>
      </c>
      <c r="C274" s="30" t="s">
        <v>51</v>
      </c>
      <c r="D274" s="30" t="s">
        <v>233</v>
      </c>
      <c r="E274" s="53">
        <f>53.61-2.735-0.29-2.736-0.145-0.43-0.145-0.575-0.435-1.292-0.13-2.298-0.715-0.29-2.017-0.145-0.3-0.995-1.16-2.015-2.56-0.431-2.982-1.29-2.696-0.271-0.014-0.51-0.567-0.712-0.009-1.557-0.58-1.3-0.14-0.003-1.732-0.002-0.575-1.015-1.996-1.574-0.58-0.72-0.25-0.145-0.725-1.282-1.295-0.595-0.125-2.06-0.635-1.28-2.233+18.575-0.625-1.94-0.28-0.126+0.038-9.924-0.096-1.925+1.08-0.564-1.366-0.306-0.109-0.07-0.03-0.03-0.38-0.02-0.387-0.125-0.92-0.01+0.01-0.13-0.245+13.067-4.222-0.955-0.545-0.941-0.41+4.74+0.3-1.09-0.14-0.14-0.3-3.268+0.39-0.245-3.435-0.145-0.05-0.08-0.3-0.15-0.71-0.68+6.539-0.135</f>
        <v>7.5109999999999797</v>
      </c>
      <c r="F274" s="25">
        <v>140000</v>
      </c>
    </row>
    <row r="275" spans="1:6">
      <c r="A275"/>
      <c r="B275" s="30">
        <v>20</v>
      </c>
      <c r="C275" s="30" t="s">
        <v>1093</v>
      </c>
      <c r="D275" s="32" t="s">
        <v>930</v>
      </c>
      <c r="E275" s="53">
        <f>1.3-0.87-0.4</f>
        <v>3.0000000000000027E-2</v>
      </c>
      <c r="F275" s="102">
        <v>120000</v>
      </c>
    </row>
    <row r="276" spans="1:6">
      <c r="A276"/>
      <c r="B276" s="31" t="s">
        <v>928</v>
      </c>
      <c r="C276" s="30" t="s">
        <v>136</v>
      </c>
      <c r="D276" s="30" t="s">
        <v>233</v>
      </c>
      <c r="E276" s="53">
        <f>23.311-7.484-0.95-0.002-0.189-0.018-0.59-0.313-0.007-0.056-0.165+18.22+12.552-0.165-2.521-0.66-0.16-0.025-0.63-3.381-2.368-0.155-3.056-1.437-0.325-0.645-0.345-0.965-0.16-3.822-0.001-3.004-0.964-0.16-9.003-0.16-0.313-0.65-0.27-0.05-2.225-0.635-0.137-0.976-0.5-1.605+6.56-0.482-6.56+0.004-0.33-0.17+5.938+15.907-0.155-7.513-0.16-0.94-0.315-0.78-2.027-0.625-0.155</f>
        <v>11.032999999999999</v>
      </c>
      <c r="F276" s="25">
        <v>130000</v>
      </c>
    </row>
    <row r="277" spans="1:6">
      <c r="A277"/>
      <c r="B277" s="30" t="s">
        <v>234</v>
      </c>
      <c r="C277" s="30" t="s">
        <v>136</v>
      </c>
      <c r="D277" s="30" t="s">
        <v>233</v>
      </c>
      <c r="E277" s="53">
        <f>51.47-0.265-0.015-0.17-0.138-0.14-0.17-0.84-0.27-0.14-0.5-3.137-3.143-3.132-0.495-3.135-0.166-0.676-2.639-0.505-0.17-1.49-0.64-4.88-2.23-0.175-0.015-0.266-1.162-0.246-0.187-1.227+0.108-0.17-0.163-3.129-3.145-0.807-0.025-0.16-0.98+0.539-0.136+3.941+3.928+3.929+0.981+3.931+3.938-10.424-0.981-0.495-1.505+2.102+3.087+3.071+0.157+3.079+3.087+3.081+3.079-0.33-3.087-1.926-0.335-0.165+0.143-1.601-0.157-2.102-3.928-3.603-0.33-1.625-0.49-0.969-0.001-0.362-1.14+11.759+3.621+3.621-0.143-0.304-0.165-0.49-0.185+0.008-0.152-0.469-0.021-3.03-1.041+7.032-0.165+6.231-0.75-0.152+5.364-3.625-0.17-0.155-0.15-19.999+0.102-0.305-0.814-3.163-1.21-0.655-1.056-0.165-2.13+0.17-2.86+0.012-0.554-0.836-3.621-3.118-0.165-1.315+20.939-0.985-0.165+2.934-0.165-0.795-3.016-0.16-0.32-2.934-0.158-0.16-0.16-1.105-0.316-0.155-2.855-3.018-0.16-0.32+20.152+20.167+0.833-0.32-3.011-2.692-0.16-0.16</f>
        <v>43.53799999999999</v>
      </c>
      <c r="F277" s="25">
        <v>135000</v>
      </c>
    </row>
    <row r="278" spans="1:6">
      <c r="A278"/>
      <c r="B278" s="30">
        <v>20</v>
      </c>
      <c r="C278" s="30" t="s">
        <v>143</v>
      </c>
      <c r="D278" s="30" t="s">
        <v>233</v>
      </c>
      <c r="E278" s="53">
        <f>2.97+2.48-2.97+4.19+1.145-0.325+4.23-2.74-0.328-0.66-0.82-1.01-0.175-0.17-0.662-0.498-1.14-0.168+2.52+2.54-0.485+0.04-0.166+0.024+4.928-0.98-2.208-1.54-1.37-0.164-0.79-0.726-0.398+0.018-0.548+3.22+1.85+2.06-2.06-0.195-0.182-2.598-1.288-3.22-1.49+0.024+2.24-0.376-1.885+0.021+5.07+2.91+2.39+2.415+0.59+0.692+0.838-0.2+0.035-2.25-0.692-0.182-0.315-1.06-0.552-2.91-0.31-1.626-2.71-0.59-0.838-0.2-0.73+0.06+3.756+3.963+3.965+3.968+3.971+0.198-0.215-0.215-1.05-1.465-3.968-3.971-0.198-3.756-3.963-1.02+15.433+5.939-0.76-1.125-0.19-0.57+0.16-2.05-7.112-1.13-0.555-0.185-0.93-0.38+3.497+3.477+3.478+3.485+3.479+0.364+3.491-2.929-0.55-0.364-0.545-1.49-0.16-3.485-3.491-3.112-3.477+2.956+3.451+3.451+2.902+0.187+2.913+3.446+3.444-0.55-0.365-0.366-1.635-0.185-0.73-1.82-0.732-2.902-2.74-1.09-0.185-8.562-0.006-0.539-0.37-3.719-0.21-0.555+20.541-0.187-20.541-1.112+0.053-0.17-1.108-1.178+2.72+3.175+3.985-0.295-0.3</f>
        <v>9.2849999999999966</v>
      </c>
      <c r="F278" s="25">
        <v>137500</v>
      </c>
    </row>
    <row r="279" spans="1:6">
      <c r="A279"/>
      <c r="B279" s="30" t="s">
        <v>234</v>
      </c>
      <c r="C279" s="30" t="s">
        <v>143</v>
      </c>
      <c r="D279" s="30" t="s">
        <v>233</v>
      </c>
      <c r="E279" s="53">
        <f>2.42+2.58-0.33-2.42-2.12+1.225-0.16+0.03-0.156-0.462-0.308+4.02-0.154-0.17-0.485-0.315-0.165-0.161-0.17-0.165-0.485-1.135-0.175+1.82+2.15-1.82-0.73-1.42-0.165-0.34-0.15+0.061-0.16+0.015+0.16+2.63+2.63-0.148-0.593-0.292+0.158-0.3-1.33-2.63-0.158+0.033-0.052+0.834+3.998+0.146+0.385+3.652+1.922+3.653+3.653+0.307+3.663+3.662-3.085-0.585-1.545-1.74-0.195-0.97-0.183-0.012-0.395-0.195-0.39-0.195-0.195-0.2-0.2-2.09-3.653-0.307-0.06-0.385-3.05-0.715-2.98-0.175+3.422+3.414+3.411+3.072+3.425+0.76+3.415-0.18-2.715-0.527-0.013-2.34-0.36-0.18-0.18-0.18-0.18-0.39-0.535-0.01-1.09-0.834-0.128-0.047-0.36-0.73-0.875-0.035-0.55-0.36-0.18-0.18-0.147-0.053-9.755-0.18+9.936+3.125+16.464+0.898-0.18-0.18-19.589-0.361-0.898-9.215+3.38+3.33+3.125-1.71-0.155</f>
        <v>8.0780000000000047</v>
      </c>
      <c r="F279" s="25">
        <v>142500</v>
      </c>
    </row>
    <row r="280" spans="1:6">
      <c r="A280"/>
      <c r="B280" s="30">
        <v>20</v>
      </c>
      <c r="C280" s="30" t="s">
        <v>171</v>
      </c>
      <c r="D280" s="30" t="s">
        <v>233</v>
      </c>
      <c r="E280" s="53">
        <f>21.21-0.695-0.235-0.235-0.198-4.4-0.465-0.47-0.7-3.475-0.235-0.47-0.637-0.216-0.077-1.4+11.472+3.82-0.235-0.7-0.716-1.2-0.242+3.676-0.235+17.455-0.24-0.24-1.14-0.235-2.874+1.621+4.405+4.397+4.397-0.69-4.37-0.23-0.24-4.303-0.095-0.46+20.55-1.38-0.24-1.194-0.476-0.478-0.924-0.452-0.23-0.235-0.92-0.958-0.242-1.197-3.82-0.235-3.216-0.004-0.46-0.235-1.38-0.23-1.61-0.684-0.955-0.47+0.02-13.786-0.705-0.93-1.86-1.165-1.171-2.755-1.627-0.235-0.235+20.166-0.235-1.83-0.695-1.605-11.692-9.005-6.023-0.93-0.235-0.93-0.47-0.695+0.203+19.427-0.645-0.43-0.43-0.215-1.075-0.886-0.15-0.32-0.71-0.24-0.232-1.905-0.21-0.645-0.215-1.276</f>
        <v>9.8430000000000213</v>
      </c>
      <c r="F280" s="25">
        <v>135000</v>
      </c>
    </row>
    <row r="281" spans="1:6">
      <c r="A281"/>
      <c r="B281" s="30" t="s">
        <v>234</v>
      </c>
      <c r="C281" s="30" t="s">
        <v>171</v>
      </c>
      <c r="D281" s="30" t="s">
        <v>233</v>
      </c>
      <c r="E281" s="53">
        <f>21.849-0.66-0.22-0.22-0.66-2.59-1.73-0.65-0.435-0.225-0.22-0.282-0.428-0.153-4.091-4.089-4.095-1.188+0.022+0.065+5.805+21.005-3.035-0.465-0.23-0.482-16.586-1.65-2.422+3.957+3.959+3.955+3.977+3.332+0.208-0.689+5.531+0.381-0.208-0.205-2.335+3.026+3.946+4.406+4.416+4.415-0.72-0.83-0.93-0.21-0.42-0.21-0.234-4.416-0.235-0.235-0.71-0.176-0.56-0.235-0.691-3.957-3.959-3.955-3.977-0.21-0.235-0.235-0.381-0.42-0.248-3.946-2.076-2.1-0.94+3.545-1.17+17.679-0.47-8.025-0.2-0.6+23.523+5.949-5.443-3.662-0.408-0.525-0.23+1.508-0.202-0.406-0.202-4.34-0.23-0.23-0.205-0.21-2.287-1.2-0.398-0.387-0.91-0.226+5.2-0.235-0.451-0.535-0.21-0.18-0.21-0.7-0.225-0.7-1.33-4.349-4.333-0.165-0.225-1.77-0.23-0.23-3.014-0.406-0.05-0.175-0.235-0.225-0.915-0.18-0.215+4.974-0.46-0.843-0.405-2.11-1.145-0.7-0.184-1.415</f>
        <v>8.0180000000000113</v>
      </c>
      <c r="F281" s="25">
        <v>142500</v>
      </c>
    </row>
    <row r="282" spans="1:6">
      <c r="A282"/>
      <c r="B282" s="30">
        <v>20</v>
      </c>
      <c r="C282" s="30" t="s">
        <v>367</v>
      </c>
      <c r="D282" s="30" t="s">
        <v>233</v>
      </c>
      <c r="E282" s="53">
        <f>3.837-0.182-0.366-1.476-0.373-0.37-0.182-0.37-0.182-0.161-0.023+5.25-0.226-1.114-0.23-0.225-3.094-0.457+0.096+3.77+3.765-1.085-2.89-0.18-0.36-0.18+1.1+4.014-0.225+0.442-0.226+0.009-0.435-0.18+0.028-3.585-1.1-0.36+0.006-0.182-1.077-0.73-0.346-0.02-0.184+0.059+4.296+4.28+4.299+4.281+4.254-4.296-1.9-4.281-4.254-1.645-0.27-2.15-1.32-0.57-0.81+0.086+4.211+1.119+2.37+4.214+4.219+4.221-0.265-4.221-0.52-0.26-1.119-0.53-0.525-2.11-4.219-0.27-0.265+3.122+4.181+4.179+4.168+4.72-0.525-0.53-0.78-0.26-1.045-0.52+0.013-0.3-0.49-0.524-0.79-2.095-2.365-1.04-4.179-0.26-1.041-0.255-0.785-0.255-0.26-0.031-0.234-1.08-4.72-1.831+21.764-0.238-0.26-0.26-0.26-0.262-0.258-0.52-0.262+20.414-1.31-0.258-0.022-0.265-0.265-0.265-2.59-0.265-0.79-0.79-1.06-0.26-0.79-0.265-0.79-1.557-0.265-0.262-1.32-6.213-1.58-0.261-0.265-0.214-1.034-0.852-1.83-1.57-0.498-4.201+0.07-8.272+0.013+3.438-0.27-0.27-0.27-1.065-1.332</f>
        <v>0.23099999999999654</v>
      </c>
      <c r="F282" s="25">
        <v>137500</v>
      </c>
    </row>
    <row r="283" spans="1:6">
      <c r="A283"/>
      <c r="B283" s="30" t="s">
        <v>234</v>
      </c>
      <c r="C283" s="30" t="s">
        <v>367</v>
      </c>
      <c r="D283" s="30" t="s">
        <v>233</v>
      </c>
      <c r="E283" s="53">
        <f>4.65-0.19-0.19-0.186-0.192-0.185-1.095-0.945-0.19-0.182-0.382-0.38-0.192-0.137-0.239+0.035+5.1-0.222-0.22-0.068-0.435-0.654-0.44-0.876-1.09-0.807+1.53+0.44-0.23-0.166-0.058-0.442-0.22-0.202-0.66+0.442-0.22-0.002-0.058-0.442+3.4-0.205-0.65-0.22-1.074-0.42-0.862+0.031+2.782+2.782+4.412+2.319+4.41+4.421-0.24-2.782-2.782-4.412-2.319-4.41-4.181+0.203-0.203+0.518+4.937+4.932+4.931+4.418-0.518-0.26-0.265-1.56-2.852-0.268-0.265+20.406-0.52-0.265-1.843-4.187-0.265-0.269-0.265-0.265-0.265-0.262-2.08</f>
        <v>23.667999999999992</v>
      </c>
      <c r="F283" s="25">
        <v>142500</v>
      </c>
    </row>
    <row r="284" spans="1:6">
      <c r="A284"/>
      <c r="B284" s="31" t="s">
        <v>928</v>
      </c>
      <c r="C284" s="30" t="s">
        <v>368</v>
      </c>
      <c r="D284" s="30" t="s">
        <v>233</v>
      </c>
      <c r="E284" s="53">
        <f>20.983-1.155-0.295-2.035-0.295-1.456-0.014+4.658+4.655+4.69+2.355+4.705+1.934-3.515-4.705-2.355-1.47-0.438-3.473-1.134-0.026-0.217+0.001-0.246-0.585-0.295-0.87-0.722-0.295-2.039-0.001-0.295-0.585-0.245-0.3-4.658-3.22-0.228-1.817-1.75-0.246-0.295-0.295-0.49+0.015+2.027+4.639+4.647+0.276+9.165-1.74-4.639-4.647-0.57+4.691+4.69+4.688+2.051+4.695+0.001-2.051-1.15-0.29-4.583-1.46-0.29-0.198-0.097+4.11+3.1+4.136+4.144-0.295-0.59-0.823-0.589-4.102-4.688-1.469-1.2-2.925+20.936-2.62-4.649-0.287-0.276-0.295-4.654-2.337-0.585-0.295-1.17-1.17+1.17-0.78-1.17-0.58-2.602-0.308-0.251-0.044-0.149-0.027-0.114-2.051-0.004-0.265-0.158-1.012-4.144-0.026-0.59+0.024-0.785-0.78-0.76-0.52-2.051-0.289+0.905+20.319-0.04-1.172-2.065-0.296-0.26-0.265-0.592-0.295-0.57-0.296-7.07-4.42-0.295</f>
        <v>8.5199999999999747</v>
      </c>
      <c r="F284" s="25">
        <v>137500</v>
      </c>
    </row>
    <row r="285" spans="1:6">
      <c r="A285"/>
      <c r="B285" s="30" t="s">
        <v>234</v>
      </c>
      <c r="C285" s="30" t="s">
        <v>368</v>
      </c>
      <c r="D285" s="30" t="s">
        <v>233</v>
      </c>
      <c r="E285" s="53">
        <f>5.428+2.76+2.56-0.285-0.285-1.405-0.216-0.28-0.285-1.282-0.285-0.825-1.262-2.57-1.01-0.29+0.01+0.03+1.766-0.28+0.07-0.65-0.215+5.064-0.66-0.44-1.535-0.208-0.228+0.15-0.442-0.24-0.222-0.44-0.222+3.32-0.22+4.62+2.17-1.315-4.62-2.17-2.305-0.52-0.265+1.752+2.75-0.43-0.216-0.446-0.222-0.218-1.838-0.241-0.23-0.922-0.22+0.01+4.345+3.51+1.925-2.986-4.345-1.925-0.34-0.014+3.377+4.502+4.539+4.542+4.506-0.56-0.17-0.56-0.285-2.275-0.29-0.86-0.29-1.43-3.112-0.01-0.285-4.539-1.13-1.13-0.285+20.673-0.85-0.292-6.05-1.125-0.565-0.246-0.039-0.57-0.503-0.067-0.288-0.285-0.29+4.619+4.614+1.151+0.262+0.573+4.595+4.601-1.735-0.576-0.865-1.445-0.29-0.29-0.58-1.45-0.292-0.288-0.572-0.596-0.011+0.027-1.155-1.445-8.069-0.175-3.459-1.151-0.262-0.573-4.595-2.125+0.14-0.29+20.713-0.29-0.29-2.017-4.605-4.594-0.29-1.146-0.29-4.313-4.604-0.572+0.077+20.736-0.58+0.247-0.58+38.481-0.29-0.29-0.29-2.893-4.639-4.619-10.346-7.258-0.856-0.007-0.277-0.29-0.58+26.695-1.15-3.992-0.57-0.57</f>
        <v>46.082000000000015</v>
      </c>
      <c r="F285" s="25">
        <v>142500</v>
      </c>
    </row>
    <row r="286" spans="1:6">
      <c r="A286"/>
      <c r="B286" s="28">
        <v>10</v>
      </c>
      <c r="C286" s="30" t="s">
        <v>369</v>
      </c>
      <c r="D286" s="30" t="s">
        <v>233</v>
      </c>
      <c r="E286" s="53">
        <f>0.384</f>
        <v>0.38400000000000001</v>
      </c>
      <c r="F286" s="25">
        <v>137500</v>
      </c>
    </row>
    <row r="287" spans="1:6">
      <c r="A287"/>
      <c r="B287" s="30">
        <v>20</v>
      </c>
      <c r="C287" s="30" t="s">
        <v>369</v>
      </c>
      <c r="D287" s="30" t="s">
        <v>233</v>
      </c>
      <c r="E287" s="53">
        <f>15.509-1.742-0.51-0.266-0.508-0.685-0.27+0.01-0.685-3.411-0.507-0.345-1.008-0.656-0.029-0.25+4.126+4.126+4.116+4.123+4.127+4.123+1.031-0.005+12.368+3.089-0.348-0.345-2.819-1.035+2.563-1.06-0.695-0.344-1.755-0.34-0.34-0.345-0.345-1.686-0.005-0.695-0.35-0.345-0.696-0.345+1.308-0.69-0.346-1.03-0.504-1.03-4.123-1.03-0.345-1.03-0.346-1.047-3.098-1.032-0.334-0.69-0.341-0.001-0.345-14.424+0.044-0.261-0.005-0.248-1.373-1.715-0.006-0.22-0.39+0.162+4.14+2.762+13.703-0.325-0.325-0.69-0.633-0.402-0.345-0.35-1.38-1.035-0.69-0.7-0.7-0.35-0.345-1.38+20.736-3.449-0.348-0.69-1.38-0.345-1.037-0.051-0.345-1.38-0.002-1.031-0.345-0.35-0.69-1.03-0.345</f>
        <v>18.924000000000007</v>
      </c>
      <c r="F287" s="25">
        <v>137500</v>
      </c>
    </row>
    <row r="288" spans="1:6">
      <c r="A288"/>
      <c r="B288" s="30" t="s">
        <v>234</v>
      </c>
      <c r="C288" s="30" t="s">
        <v>369</v>
      </c>
      <c r="D288" s="30" t="s">
        <v>233</v>
      </c>
      <c r="E288" s="53">
        <f>4.765-0.442+2.57+2.79-0.21-1.092-0.22-0.215-0.23-0.43-0.43-0.435+0.89+3.84-1.09-0.43+0.9+5.143-0.88-5.143-0.305-0.62-0.692-0.835-1.925-3.965-0.89+0.051+0.125-0.308-0.3+0.013+2.275-0.255+1.9+3.412+3.402+3.438-0.245-0.26-0.25-0.253-0.23-0.914-2.258-0.255-0.255-0.47-0.255-0.23-1.185+1.138+4.789+4.787+0.896+4.8+4.789-0.61-0.305-0.305-0.305-0.305-0.6-0.26-0.31-3.438-0.33-0.22-2.712-0.305-0.9-0.305-1.138-0.3-4.179-0.61-0.596-0.004-0.6-0.505+0.023-0.305+4.135+4.13+1.783+3.569+3.27+4.76-0.345-0.3-0.34-0.34-0.3-1.5-0.345-1.035-0.3-0.27-0.03-0.3-0.905-1.04-0.345-0.3-0.645-0.895+4.222+2.222-0.3-0.305-1.485-0.595-0.17-0.098-0.02-4.449-0.311-0.034-1.2-0.69-0.345-0.3-0.3</f>
        <v>16.841000000000008</v>
      </c>
      <c r="F288" s="25">
        <v>142500</v>
      </c>
    </row>
    <row r="289" spans="1:6">
      <c r="A289"/>
      <c r="B289" s="30">
        <v>20</v>
      </c>
      <c r="C289" s="30" t="s">
        <v>370</v>
      </c>
      <c r="D289" s="30" t="s">
        <v>233</v>
      </c>
      <c r="E289" s="53">
        <f>10.069-0.212+0.018-0.28-0.276-0.275-0.83-0.28-1.568-1.945-0.277-0.835-0.28-0.295-0.228-0.556+5.235+5.265-0.278-3.105-0.267-0.811-0.492-0.102-1.245-0.94+0.025+5.165+4.835-3.96-0.31+3.19+1.04+3.76-0.27-0.32-0.31-2.67-3.76-1.22-0.265-0.035-0.615-0.305-1.04-0.615-0.315-0.32-0.3-0.26+0.01-1.21-0.31-0.62-0.615-1.248-0.308-1.22+1.537+3.842+3.845+3.843+3.846+3.846-0.315-0.385-0.31+0.12-0.39-0.39-1.155-0.385-0.385-0.385-0.39-0.284-0.036+0.011-0.39-1.925-1.16-1.155-1.155-0.37-0.015-1.54-0.77-1.155-0.77-1.537-0.377-0.013-2.686-0.014+20.654-0.721-0.059-1.167-0.39-1.56-1.56-1.57-2.331-0.409-0.692-0.088-0.39-11.699+0.12+17.352-0.396+3.942+21.264-2.355-0.791-0.394-1.58-0.388-1.185-1.58</f>
        <v>33.889000000000003</v>
      </c>
      <c r="F289" s="25">
        <v>137500</v>
      </c>
    </row>
    <row r="290" spans="1:6">
      <c r="A290"/>
      <c r="B290" s="30" t="s">
        <v>234</v>
      </c>
      <c r="C290" s="30" t="s">
        <v>370</v>
      </c>
      <c r="D290" s="30" t="s">
        <v>233</v>
      </c>
      <c r="E290" s="53">
        <f>5.21-0.996-0.25-0.236-0.236-0.702-1.3-1.26-0.26+0.03+4.04+1-0.28-0.28-1.1-0.27-0.27-0.27+4.8+0.61-1.215-0.54-3.585-0.635-1.57-0.48+0.025+0.02+2.64+2.65-0.275-1.32-0.535-1.855+2.349+18.827-0.276-0.01-3.52-0.39+21.649-0.39-0.26-4.013-4.013-1.969-0.432-3.202-4.003-1.569-0.405-0.39-14.935-0.805+0.018-2.807-0.27+21.302-0.234-0.296+0.041-11.035-10.267+10.607+9.285+5.449-0.372-0.966-0.39-4.636-0.775</f>
        <v>18.202000000000002</v>
      </c>
      <c r="F290" s="25">
        <v>142500</v>
      </c>
    </row>
    <row r="291" spans="1:6">
      <c r="A291"/>
      <c r="B291" s="28" t="s">
        <v>1031</v>
      </c>
      <c r="C291" s="30" t="s">
        <v>1032</v>
      </c>
      <c r="D291" s="30" t="s">
        <v>233</v>
      </c>
      <c r="E291" s="53">
        <f>10.69-7.142</f>
        <v>3.5479999999999992</v>
      </c>
      <c r="F291" s="25">
        <v>170000</v>
      </c>
    </row>
    <row r="292" spans="1:6">
      <c r="A292"/>
      <c r="B292" s="30">
        <v>20</v>
      </c>
      <c r="C292" s="30" t="s">
        <v>371</v>
      </c>
      <c r="D292" s="30" t="s">
        <v>233</v>
      </c>
      <c r="E292" s="53">
        <f>23.754-0.87-4.339-0.305-0.44-3.898-0.309-0.308-2.185-0.107-0.203-0.308+0.011-0.435-0.44-0.88-4.337-0.407-0.033-0.44+2.647+4.406+4.404+4.413+0.879+4.402-0.435-0.87-0.812-0.058-0.445-0.434-0.011-3.965-2.647-4.406-4.413-4.404+21.784-0.937-0.088-0.29+0.029-16.126-1.615-0.815-0.81+2.176+4.353+4.352+4.356+4.354-4.353-2.176-0.435-1.74-1.31-0.43-0.88-0.81-0.001-1.746-1.309-0.44-0.44-0.435+20.136-0.442-0.445-0.87-0.44-0.4-4.822-0.338-0.107-3.075-0.45-0.445-0.44-0.88+3.978+3.968+3.984+3.97-0.417-0.41-1.19+20.852-0.44-0.44-0.874-0.44-0.04-1.75-1.312-0.44-0.88-0.4-0.437-0.297-0.138-1.31-0.87-1.31-0.4-0.395</f>
        <v>35.534000000000006</v>
      </c>
      <c r="F292" s="25">
        <v>137500</v>
      </c>
    </row>
    <row r="293" spans="1:6">
      <c r="A293"/>
      <c r="B293" s="30" t="s">
        <v>234</v>
      </c>
      <c r="C293" s="30" t="s">
        <v>371</v>
      </c>
      <c r="D293" s="30" t="s">
        <v>233</v>
      </c>
      <c r="E293" s="53">
        <f>6.683-0.026-0.605-2.65-0.27-0.82-0.3-0.001-0.304-0.292-0.286+2.75+2.44-0.31-0.25-0.32-0.305-1.81-2.16-0.61+0.017-0.31+0.025+5.47+5.15+2.76+2.12+0.23-0.3-0.605-0.61-0.92-0.305-1.545-1.515-0.61+0.005-0.3+0.014-0.305+1.78+0.9+0.6+0.91+1.23-0.6-0.305-4.9-0.305-0.888-0.305-0.595-0.015-3.335-0.035-0.307-0.296+0.016-0.605+5.689-1.95-0.33-1.29-1.91-0.305+0.096-0.305-0.91-0.005+4.345+0.763+4.353+4.361+4.341+1.301-0.43-0.435-2.62-4.361-4.641-0.435-0.116-1.725-0.333+14.987+5.242-0.435-1.305-1.633-0.435-0.43-0.24+0.01-0.43-0.75</f>
        <v>19.69400000000001</v>
      </c>
      <c r="F293" s="25">
        <v>147500</v>
      </c>
    </row>
    <row r="294" spans="1:6">
      <c r="A294"/>
      <c r="B294" s="30">
        <v>20</v>
      </c>
      <c r="C294" s="30" t="s">
        <v>372</v>
      </c>
      <c r="D294" s="30" t="s">
        <v>233</v>
      </c>
      <c r="E294" s="53">
        <f>3.357-1.015-2.015+0.005+4.07+4.06+0.33-0.362-0.335+0.03-2.03-2.03-1.345-2.035+4.07+4.39-1.37-0.35-0.34-2.04+3.1+2.4-3.1-0.67-4.39-0.015-0.33-0.31-1.745+0.015+8.62+3.76+3.75-0.37+4.3+5.69-1.025-1.365-5.69-2.905-0.685-1.8-3.23-1.015-1.095-0.685-0.01-2.73+0.005-0.72-0.74+5.05-0.35-0.015-0.37+5.06-0.335+5.13-1.01-2.024-1.01-3.305-0.735-0.37-0.335-0.59-0.145+4.468+3.13+4.47+4.473+22.314+4.468-3.125-0.9-1.46+0.22-0.895-0.45-0.447-0.455-0.45-0.46-0.45-0.91-1.34-3.13-1.35-0.446-0.045-8.918-0.44-0.3+0.009-0.44-1.795-4.915-0.465-1.345-0.45-0.417-0.053-0.895-0.46-0.45-0.905-0.423-0.477+0.107-0.46-0.45-0.445+5.215+4.48-0.35-0.35-1.05-4.89-0.89-0.665-0.35-0.338+0.013-0.37-1.048-0.45-0.45-0.353-0.895-0.445-0.895+0.002</f>
        <v>5.4699999999999784</v>
      </c>
      <c r="F294" s="25">
        <v>144900</v>
      </c>
    </row>
    <row r="295" spans="1:6">
      <c r="A295"/>
      <c r="B295" s="30">
        <v>20</v>
      </c>
      <c r="C295" s="30" t="s">
        <v>373</v>
      </c>
      <c r="D295" s="30" t="s">
        <v>233</v>
      </c>
      <c r="E295" s="53">
        <f>2.305-0.33-0.66-1.32+0.005+1+3.05+3.39-0.695-1-0.339-0.34-1.02-1.6-1.025-1.025-0.305-0.035+2.78+1.575+1.14-0.395-0.77-0.4-1.14-1.255+2.85+2.14-0.36-0.705-0.72-0.395+0.4-0.32-0.47-0.715-0.35-0.01-0.37+0.01-0.375-0.41+0.025+0.01+7.79+3.69+4.05-1.77-1.85-0.375-0.395-0.78-1.175-0.374-1.115-0.385-0.37-1.18-0.366-2.77-2.942-0.37-0.046-0.01-1.129+0.024+0.02+0.002+3.645+3.36-2.185-1.1-2.185-1.09-0.085+21.14-0.445+7.903-1.76-0.88-0.37+0.01-1.33-0.9-0.445-0.44-0.445-0.44-1.325-0.445-0.445-0.44-5.515-0.445-0.44-1.32-0.44-5.285-0.445-4.6-0.445-0.155-0.213+18.903-0.452-0.452-0.452-0.452-0.451-0.451-0.906-1.352-0.452-1.346-0.451-0.451-0.9-0.451-0.45-0.451-0.45-0.9</f>
        <v>7.6329999999999849</v>
      </c>
      <c r="F295" s="25">
        <v>146000</v>
      </c>
    </row>
    <row r="296" spans="1:6">
      <c r="A296"/>
      <c r="B296" s="30">
        <v>20</v>
      </c>
      <c r="C296" s="30" t="s">
        <v>1077</v>
      </c>
      <c r="D296" s="30" t="s">
        <v>233</v>
      </c>
      <c r="E296" s="53">
        <f>5.584-2.26+7.135+0.365-0.57-1.485-1.126-0.382</f>
        <v>7.261000000000001</v>
      </c>
      <c r="F296" s="25">
        <v>147500</v>
      </c>
    </row>
    <row r="297" spans="1:6">
      <c r="A297"/>
      <c r="B297" s="30">
        <v>20</v>
      </c>
      <c r="C297" s="30" t="s">
        <v>374</v>
      </c>
      <c r="D297" s="30" t="s">
        <v>233</v>
      </c>
      <c r="E297" s="53">
        <f>5.148-0.785+0.002-0.405-0.79-0.8-0.8-0.78-0.79+5.095-0.935-0.935+0.455-0.93-0.455-0.47-0.465-0.468-0.935+0.043+5.514-2.31+5.62-3.285-0.46-2.78+0.036-2.335+5.365+4.97</f>
        <v>10.334999999999997</v>
      </c>
      <c r="F297" s="25">
        <v>157000</v>
      </c>
    </row>
    <row r="298" spans="1:6">
      <c r="A298"/>
      <c r="B298" s="30">
        <v>20</v>
      </c>
      <c r="C298" s="30" t="s">
        <v>375</v>
      </c>
      <c r="D298" s="30" t="s">
        <v>233</v>
      </c>
      <c r="E298" s="53">
        <f>5.429+2.57+4.66+0.915-0.475+0.01-1.4-0.47-0.47-0.94-0.86-1.72-0.47-0.91-0.01-0.475-1.29+0.045-0.862-2.22-0.42+0.021-0.432+0.014-0.24+5.195-0.945-1.895-0.96-0.95+2.06+3.06+2.79-0.92-0.575-0.565-1.65-0.265-1.14-0.555-0.28-0.555-0.845-0.445-0.56+5.414+5.17-1.63-1.09-0.76-1.08-0.55-2.154-0.376-2.56-0.37-0.014+11.536-1.29-1.29-1.715-0.432-2.142-1.29+4.908-1.725-1.845-0.615-0.62+5.885+3.845-0.615-0.383-1.95-1.213-2.386-0.83</f>
        <v>5.8330000000000028</v>
      </c>
      <c r="F298" s="25">
        <v>147500</v>
      </c>
    </row>
    <row r="299" spans="1:6">
      <c r="A299"/>
      <c r="B299" s="30">
        <v>20</v>
      </c>
      <c r="C299" s="30" t="s">
        <v>376</v>
      </c>
      <c r="D299" s="30" t="s">
        <v>233</v>
      </c>
      <c r="E299" s="53">
        <f>1.48+3.465-0.997-0.5-0.5-0.98-0.502-0.5-0.483-0.017-0.496+0.03+5.05-0.465-2.775+0.465-0.465-0.468-1.39+0.048+7.442-0.925-0.465-0.465-1.38-2.305-0.465-1.355-0.082+3.725+4.175-3.725-0.47+2.765+2.7-1.395-0.02-1.37-0.935-1.4-0.695-1.35-0.7-0.7-0.605+10.424-1.24-0.607-2.442-0.62-4.91-0.615+0.01+4.788-0.614+6.395-0.603-2.4-1.283-0.607-0.6+0.036-1.7-0.41-0.435-0.44-0.43-0.855</f>
        <v>0.84200000000000252</v>
      </c>
      <c r="F299" s="25">
        <v>145000</v>
      </c>
    </row>
    <row r="300" spans="1:6">
      <c r="A300"/>
      <c r="B300" s="30" t="s">
        <v>234</v>
      </c>
      <c r="C300" s="30" t="s">
        <v>376</v>
      </c>
      <c r="D300" s="30" t="s">
        <v>233</v>
      </c>
      <c r="E300" s="53">
        <f>1.66+3.49-0.88-1.66-1.754-0.78-0.1+0.024+3.009-1.24-1.769+0.82+1.06+0.99+0.24-3.11+0.25+0.36+0.34-0.25+5.11-5.11-0.64+1.3-0.36-0.34-0.66+2.2+2.63-4.83+2.07+3.86-5.93+7.025-2.01-5.015</f>
        <v>0</v>
      </c>
      <c r="F300" s="25">
        <v>162000</v>
      </c>
    </row>
    <row r="301" spans="1:6">
      <c r="A301"/>
      <c r="B301" s="30">
        <v>20</v>
      </c>
      <c r="C301" s="30" t="s">
        <v>377</v>
      </c>
      <c r="D301" s="30" t="s">
        <v>233</v>
      </c>
      <c r="E301" s="53">
        <f>4.04+1.355-0.9-0.9-1.81-0.45-0.43-0.925+0.02+2.78+2.735-1.38-0.68-2.78-0.7+0.025+3.33+6.714-0.68-0.675-4.03-0.67-0.67-0.67+5.386-0.54+3.015+3.085-0.675-0.654-0.016-0.54-0.665-0.75</f>
        <v>10.294999999999998</v>
      </c>
      <c r="F301" s="25">
        <v>159000</v>
      </c>
    </row>
    <row r="302" spans="1:6">
      <c r="A302"/>
      <c r="B302" s="30">
        <v>20</v>
      </c>
      <c r="C302" s="30" t="s">
        <v>1078</v>
      </c>
      <c r="D302" s="30" t="s">
        <v>233</v>
      </c>
      <c r="E302" s="53">
        <f>5.334</f>
        <v>5.3339999999999996</v>
      </c>
      <c r="F302" s="25">
        <v>159000</v>
      </c>
    </row>
    <row r="303" spans="1:6">
      <c r="A303"/>
      <c r="B303" s="30">
        <v>20</v>
      </c>
      <c r="C303" s="30" t="s">
        <v>378</v>
      </c>
      <c r="D303" s="30" t="s">
        <v>233</v>
      </c>
      <c r="E303" s="53">
        <f>6.88-4.967-0.088-0.332-0.211+14.58-0.315-0.12+3.85+10.095-0.106-2.678-2.935+0.005-0.282-0.108-0.418-0.245+0.025-0.365-0.125-0.23-0.35-0.36-3.675-3.818-2.3-8.139-0.199-0.54-2.372-0.157+6.884+3.424+3.496+3.44+3.43-0.118-0.115-0.23-0.12-0.465-0.348-3.496-1.375-3.21-0.23-6.884-2.965-1.145+0.02+0.007+4.928+19.974-0.22-0.67-0.882-16.364-0.226-0.226+10.248-0.115-0.114-0.228-0.326-0.34-2.008-3.89-0.115-0.224-0.226-0.243-2.323-0.115-0.113-0.115-0.448-0.556-0.665-0.115+10.12-0.12-1.14-0.336-0.442-0.142-0.137-0.891-0.019-0.122-1.54-5.06-1.335-2.974</f>
        <v>0.14499999999999247</v>
      </c>
      <c r="F303" s="25">
        <v>152500</v>
      </c>
    </row>
    <row r="304" spans="1:6">
      <c r="A304"/>
      <c r="B304" s="30" t="s">
        <v>234</v>
      </c>
      <c r="C304" s="30" t="s">
        <v>378</v>
      </c>
      <c r="D304" s="30" t="s">
        <v>233</v>
      </c>
      <c r="E304" s="53">
        <f>2.313-0.5-0.205-0.206-0.408-0.202+5.25+0.315-0.217-0.316-0.332-0.42-0.112-0.422-0.33-0.57-0.32-0.062-0.352-1.582-0.704-0.209-0.137-0.454+0.276-0.094+1.616+3.554-0.11-3.554+0.83-0.326+0.432-0.212-0.432+0.525-0.44-0.525-0.654-0.218-0.11-0.305+0.025-0.11+0.014+4.364-4.364+0.776+5.476-0.548-0.23+0.002+2.492+1.584-0.8-2.492-0.669-3.105-1.6-0.115-0.771+2.878-2.878+4.55+0.432</f>
        <v>4.9820000000000011</v>
      </c>
      <c r="F304" s="25">
        <v>157500</v>
      </c>
    </row>
    <row r="305" spans="1:6">
      <c r="A305"/>
      <c r="B305" s="30">
        <v>20</v>
      </c>
      <c r="C305" s="30" t="s">
        <v>379</v>
      </c>
      <c r="D305" s="30" t="s">
        <v>233</v>
      </c>
      <c r="E305" s="53">
        <f>2.742-0.12+0.12-0.336+1.23+0.585+4.88-0.208-0.208-0.208-0.312-0.218-0.1-3.756-0.202-0.402-0.496-0.092-0.242+1.654+8.606-2.015-1.68-0.39-0.02-2.19-0.254-0.646-0.384-0.642-1.425-0.262-0.13+10.35-0.255-0.128-0.126-0.26-0.772-0.258-1.295-0.13-0.13-0.242-0.343-0.4-0.007-0.255+0.044-0.4-0.665-0.7-0.09-0.915-5.17-0.265-0.13-0.11-0.19-0.007+10.142+0.007-0.52-7.726-0.26+28.269-11.473-4.885-0.145-0.285-0.128-0.285-0.43</f>
        <v>12.310999999999995</v>
      </c>
      <c r="F305" s="25">
        <v>146000</v>
      </c>
    </row>
    <row r="306" spans="1:6">
      <c r="A306"/>
      <c r="B306" s="30">
        <v>20</v>
      </c>
      <c r="C306" s="30" t="s">
        <v>380</v>
      </c>
      <c r="D306" s="30" t="s">
        <v>233</v>
      </c>
      <c r="E306" s="53">
        <f>0.685+0.822+0.163+2.653+2.653+1.54+2.653+2.654+2.669+2.666+2.663-0.985-1.13-2.653-2.654-2.666-0.228-0.822-1.125+0.044-0.115-0.145-1.69+9.454-0.14-2.095-0.163-2.653-0.425-0.129-0.833-0.023+0.321+0.553+2.598+1.499+2.593+2.6+2.583+2.598+2.596+2.586-0.161-0.145-0.413-0.007-0.12-0.16-0.553-1.499-2.586-0.135-0.145-0.095-0.004-0.046-0.115-0.96-1.363-2.045-0.4-0.28-0.14-0.415-0.41-0.43-0.69+0.69-0.268-0.002-0.12-0.41-2.176-9.054-0.69-0.125+0.064-0.825+5.03-1.078-1.552-0.142-0.382-0.69-0.135-2.692-0.278-0.272-0.003+0.016+18.205-1.095-6.366-0.933-0.123-0.002-0.015-0.135-3.428-0.08-3.43-1.095-2.953-0.28+16.021+4.171-0.275-0.123-0.14-0.533-0.28-0.42-2.789-0.42-2.676-2.395-0.03-0.045+0.035-0.42-1.815-1.115+3.106-0.14</f>
        <v>10.747999999999999</v>
      </c>
      <c r="F306" s="25">
        <v>137500</v>
      </c>
    </row>
    <row r="307" spans="1:6">
      <c r="A307"/>
      <c r="B307" s="30" t="s">
        <v>234</v>
      </c>
      <c r="C307" s="30" t="s">
        <v>1094</v>
      </c>
      <c r="D307" s="32" t="s">
        <v>930</v>
      </c>
      <c r="E307" s="53">
        <f>0.445</f>
        <v>0.44500000000000001</v>
      </c>
      <c r="F307" s="102">
        <v>110000</v>
      </c>
    </row>
    <row r="308" spans="1:6">
      <c r="A308"/>
      <c r="B308" s="30" t="s">
        <v>234</v>
      </c>
      <c r="C308" s="30" t="s">
        <v>380</v>
      </c>
      <c r="D308" s="30" t="s">
        <v>233</v>
      </c>
      <c r="E308" s="53">
        <f>16.81-0.98-2.61+0.091+2.768+0.097+1.939-0.495-0.825-0.165-0.17-1.145-1.3-2.591-3.895-3.902-1.939-0.142-0.165-0.322-0.097+3.068+0.805+2.591+2.715+2.581+0.163+2.613+2.596+2.596+2.577-0.685-0.805-0.163-2.596-2.596-2.577-0.945-0.27-2.473-0.118-0.713-0.534+2.607+2.605+2.608+2.603+2.609+2.603-0.6+1.782-1.507-1.763-1.26-0.275-0.42-0.138-0.032-0.42-0.275-0.045-0.64-0.487-2.581-1.3-0.268-1.307-2.605-0.359-0.685-0.825-0.544-0.686-0.685-1.099-0.69-0.275-0.415-0.011-0.133-1.504-2.183+20.111+0.445-0.99-0.99-0.145-0.14-0.278-0.838-0.565-0.445-0.14-0.14-0.99-0.985-1.973-4.359-0.56+0.71-0.28-1.68-1.54-0.147-0.853-0.271-1.13-1.264-0.565+0.002</f>
        <v>0.19199999999999395</v>
      </c>
      <c r="F308" s="25">
        <v>142500</v>
      </c>
    </row>
    <row r="309" spans="1:6">
      <c r="A309"/>
      <c r="B309" s="30">
        <v>20</v>
      </c>
      <c r="C309" s="30" t="s">
        <v>1095</v>
      </c>
      <c r="D309" s="32" t="s">
        <v>930</v>
      </c>
      <c r="E309" s="53">
        <f>2.766</f>
        <v>2.766</v>
      </c>
      <c r="F309" s="102">
        <v>105000</v>
      </c>
    </row>
    <row r="310" spans="1:6">
      <c r="A310"/>
      <c r="B310" s="30">
        <v>20</v>
      </c>
      <c r="C310" s="30" t="s">
        <v>65</v>
      </c>
      <c r="D310" s="30" t="s">
        <v>233</v>
      </c>
      <c r="E310" s="53">
        <f>52.222-3.203-1.687-1.86-3.188-0.173-0.33-0.19-0.186-0.95-0.165-3.393-3.214-3.206-0.19-0.362-3.6-1.325-0.338-3.005-0.17-2.65-0.43-1.04-0.203-0.28-1.243-0.755-0.38-3.22-0.76-0.57-0.2-0.164+20.783-20.052-0.744-5.814-1.222-0.371-0.153-0.158-0.376+0.191+0.013+0.001+20.106-0.001-1.118-0.37-3.256-0.372-0.19-0.175-0.348-0.175-0.417+0.142-0.346-0.934-3.906-0.934-1.11+1.68+4.22+1.86+3.12+4.995-0.192-0.712-0.75-0.12-0.04-0.556-4.5-5.935+0.039-0.495-0.065-0.375-0.36-3.05-0.183-0.19-0.56+2.766-0.185-0.37+0.564-2.766+20.512-2.935-3.106-3.058-0.651-4.897-0.325-0.493-0.37-1.795-0.189-0.149-0.014-0.375-0.165-2.115-0.16+0.484+9.984+0.334-0.34</f>
        <v>16.303000000000011</v>
      </c>
      <c r="F310" s="25">
        <v>128000</v>
      </c>
    </row>
    <row r="311" spans="1:6">
      <c r="A311"/>
      <c r="B311" s="28" t="s">
        <v>1041</v>
      </c>
      <c r="C311" s="30" t="s">
        <v>65</v>
      </c>
      <c r="D311" s="30" t="s">
        <v>233</v>
      </c>
      <c r="E311" s="53">
        <f>1.138-0.48-0.16</f>
        <v>0.49799999999999989</v>
      </c>
      <c r="F311" s="25">
        <v>128000</v>
      </c>
    </row>
    <row r="312" spans="1:6">
      <c r="A312"/>
      <c r="B312" s="30" t="s">
        <v>234</v>
      </c>
      <c r="C312" s="30" t="s">
        <v>1095</v>
      </c>
      <c r="D312" s="32" t="s">
        <v>930</v>
      </c>
      <c r="E312" s="53">
        <f>0.331</f>
        <v>0.33100000000000002</v>
      </c>
      <c r="F312" s="102">
        <v>135000</v>
      </c>
    </row>
    <row r="313" spans="1:6">
      <c r="A313"/>
      <c r="B313" s="30" t="s">
        <v>234</v>
      </c>
      <c r="C313" s="30" t="s">
        <v>65</v>
      </c>
      <c r="D313" s="30" t="s">
        <v>233</v>
      </c>
      <c r="E313" s="53">
        <f>1.708-0.314-0.011-0.325-0.284-0.366+0.051+19.589-0.375-0.374-0.374+0.35-2.074-1.134+0.54+0.34-0.19-13.81-0.754-0.35-0.19-0.54-0.34-0.38+0.066+3.076+3.079+3.083+3.084+3.077+2.912-0.16+0.161-3.084-1.945-3.076-0.653-0.161-2.912-0.165-0.16-0.16-0.325-3.077-0.16-0.002-0.49-0.81-0.48+0.002-0.439-0.165+6.132-0.002-0.323+15.041-3.065-0.98-0.165-0.325-0.655-0.97-0.165-1.945-3.092-0.164-1.3-0.325-1.127-0.013-0.975-0.165+1.9+3.18-1.13-2.743-0.313-0.814-1.105+0.051-0.16-0.353-0.19-2.54-0.097-0.093-0.16+0.161-0.28+0.28-0-0.33-0.02-0.052-0.957-0.161+19.997-0.32-0.32-2.865-2.403-0.485-0.485-0.325-0.165-0.165-0.49-0.982-0.014-0.137-0.138-1.125+0.331-0.33-0.11-0.37-0.331-0.16-0.8-3.044-0.32-0.96-0.461-0.336-0.16-1.59-0.795+19.503-0.187-0.142-0.19-2.475-0.57-0.755-2.455-0.385-0.56</f>
        <v>11.925999999999991</v>
      </c>
      <c r="F313" s="25">
        <v>138000</v>
      </c>
    </row>
    <row r="314" spans="1:6">
      <c r="A314"/>
      <c r="B314" s="30">
        <v>20</v>
      </c>
      <c r="C314" s="30" t="s">
        <v>1096</v>
      </c>
      <c r="D314" s="32" t="s">
        <v>930</v>
      </c>
      <c r="E314" s="53">
        <f>0.494</f>
        <v>0.49399999999999999</v>
      </c>
      <c r="F314" s="102">
        <v>105000</v>
      </c>
    </row>
    <row r="315" spans="1:6">
      <c r="A315"/>
      <c r="B315" s="30">
        <v>20</v>
      </c>
      <c r="C315" s="30" t="s">
        <v>381</v>
      </c>
      <c r="D315" s="30" t="s">
        <v>233</v>
      </c>
      <c r="E315" s="53">
        <f>20.946+1.62-0.21-1.26-0.41+0.02+0.38-0.41+0.04-0.21-0.475-1.425+0.015+0.095-0.415-1.67-1.81-0.111+0.95+1.36-17.02+2.73+2.58-1.13-0.53-0.2-2.53+1.13-0.2-0.015-0.7+0.175-0.19+12.68-0.43-0.164-0.35-12.086-0.18-0.342+3.988-0.248-0.262-0.19-0.21+10.636-0.605-0.2-0.202+0.4-4.344-1.59-0.795-1.225+0.006-1.002-0.006-0.15-0.205-0.89+0.01-0.59-0.215+0.02-0.21-0.604+3.022+3.577+3.577+3.585+3.573+3.601+1.129-1.53-0.755-2.85-0.945-0.93-1.52-0.204-0.195-1.538-2.632-2.647-0.735-3.573+3.537+3.542+1.308+3.56+3.555+3.535+0.356+0.171-1.308-3.56-3.535-0.76-0.356-0.171-0.375-0.494-1.135-0.76-0.19-0.542-0.028-0.192+20.919-0.19-0.66-0.925-0.19-0.179-0.011-0.355-3.18-2.037-0.185-0.185-4.201-3.532-0.175-0.395-4.208-0.883-0.185-0.977-2.02-0.19-1.264+20.534-0.885-0.665-4.176-0.185-0.44-1.961-0.22+0.494-1.53-3.055-0.494-2.845-4.141-0.446-0.44+0.005-1.965-0.875-0.44</f>
        <v>0.79499999999999416</v>
      </c>
      <c r="F315" s="25">
        <v>137500</v>
      </c>
    </row>
    <row r="316" spans="1:6">
      <c r="A316"/>
      <c r="B316" s="30" t="s">
        <v>234</v>
      </c>
      <c r="C316" s="30" t="s">
        <v>381</v>
      </c>
      <c r="D316" s="30" t="s">
        <v>233</v>
      </c>
      <c r="E316" s="53">
        <f>5.364+1.22+4.94-4.94-0.36-1.22-0.425+0.03-0.165+4.825+0.197+0.188-0.687-0.667-0.735-0.185-0.025-1.845+0.04+0.38-2.09-0.38-0.59-0.415-0.405+0.075+0.025-1.738-0.188-0.197-0.027+4.91-0.955-0.575-1.885-0.19-0.545-0.2-0.56+0.39+0.395+1.165-0.2+10.462-1.82-0.785+2.73+2.61-0.445-2.58-0.405+2.61+3.41+3.285-3.41-0.99-0.194-0.41-0.17-1.005-1.785-2.125-0.525-0.025-0.825-0.795-0.21-2.2-2.11+0.7-1.895+4.09+4.096+4.101+4.117+4.098+0.214-0.196-2.155-0.214-1.946-0.87-3.247-0.215-0.18-0.005-0.005-0.7-0.19-1.295-4.09-2.586-0.87-1.09-0.392-0.117-0.255-0.195-0.613-0.12-2.138+0.007+0.113+20.39-0.215-0.215-0.215-4.041-4.03-2.34+5.218+20.475-0.215-0.578-0.06-2.16-1.08-0.43-0.135-0.966-1.509-0.196-0.215+20.274-0.41-2.126-4.034-0.645-0.191-2.16-0.424-4.099-2.588-0.815-2.17-0.215-3.05</f>
        <v>24.829999999999977</v>
      </c>
      <c r="F316" s="25">
        <v>142500</v>
      </c>
    </row>
    <row r="317" spans="1:6">
      <c r="A317"/>
      <c r="B317" s="30">
        <v>20</v>
      </c>
      <c r="C317" s="30" t="s">
        <v>382</v>
      </c>
      <c r="D317" s="30" t="s">
        <v>233</v>
      </c>
      <c r="E317" s="53">
        <f>20.045-2.24-4.729-0.425-0.456-4.739-0.21-4.731-1.993-0.022+4.043+4.023+4.014+4.024+4.029-0.5-0.25-3.793-4.023-4.014-4.024-4.029+4.681+4.687+0.222+4.684+1.724+4.683-0.49-4.681-0.222-4.683-0.245-0.495-2.46-0.49-0.74+0.23-0.5-0.74-0.247+15.962-0.73+1.34+4.667-4.662-4.667-0.495-4.667-4.667-0.75-0.495+4.674+14.028+1.965+3.24-6.685-0.745-0.255-0.99+31.277-0.98-2.234+0.001-2.46-0.01-0.975-0.75+0.039-1.485+1.931+0.971+4.603+4.604+4.602+4.588-0.5-0.24-0.49-4.94-2.02-0.73-1.201-0.481-0.974-0.455-1.34-0.985-0.245-4.602-0.965-0.245-4.113-0.239-0.721-0.745-5.613-0.292-0.491-4.588-1.946+0.043-0.473-0.49-14.969-0.225-0.45+3.515-0.018+20.901-0.68-0.5-0.253-0.66-1.257-0.506-0.22-0.66-4.099-1.1-0.5-0.88-0.44-0.23+19.58-0.499-4.707-1.734-4.71-3.72-4.074-1.756-0.5-0.22-1.24-0.44-1.1-0.72-1.32-0.74-0.044-0.23-0.495-1-0.25-0.22-0.22-0.88</f>
        <v>10.156999999999993</v>
      </c>
      <c r="F317" s="25">
        <v>137500</v>
      </c>
    </row>
    <row r="318" spans="1:6">
      <c r="A318"/>
      <c r="B318" s="30" t="s">
        <v>234</v>
      </c>
      <c r="C318" s="30" t="s">
        <v>382</v>
      </c>
      <c r="D318" s="30" t="s">
        <v>233</v>
      </c>
      <c r="E318" s="53">
        <f>29.947-0.75-0.524-1.732-3.22-0.01-0.395-0.755-0.255-0.255-0.25-0.5-2.99-3.823-0.178-0.916-0.76-0.376-0.526-0.194-0.75-0.547-0.755-0.043-0.196-1-0.5-1.245+19.613-1.99-0.25-0.495-1.25-3.723-0.25-0.195-0.75-3.214-0.202-3.974-3.976-0.995-0.745-0.25-0.25-0.369-0.966-0.204-0.451-1.241-0.198+0.185+4.695+4.703+4.66+4.703+1.732-0.194+0.149-0.745-3.215-4.703-3.47-1.233-0.007-0.99-0.5-2.47-0.5-0.192+0.03+3.227+3.216+0.454+2.482+3.23+3.233-0.228-0.022+3.221-3.227-0.454-1.24-3.23-1.478-3.233-0.995-0.25-0.25-3.221-1+19.485-0.482-0.018-1.226-0.99-1.73-0.25-1.235-0.25-0.25-0.245-1.23-0.495-0.243-4.688-3.455-3.952-0.74+19.596-1.476-2.21-0.239-0.002-0.004-1.471-0.979-0.49-0.245-0.245-1.225-0.486-0.004+19.397-0.5-0.25-0.98-0.16-0.085-0.735-2.203-0.98-1.22-0.232-0.258-2.447-2.21-0.49-0.25-0.74-2.71-0.49-0.245-0.735-0.629-0.111-3.933-0.492-0.74-2.704-0.006-1.97</f>
        <v>2.4680000000000044</v>
      </c>
      <c r="F318" s="25">
        <v>151000</v>
      </c>
    </row>
    <row r="319" spans="1:6">
      <c r="A319"/>
      <c r="B319" s="30">
        <v>20</v>
      </c>
      <c r="C319" s="30" t="s">
        <v>383</v>
      </c>
      <c r="D319" s="30" t="s">
        <v>233</v>
      </c>
      <c r="E319" s="53">
        <f>52.982-0.76-0.27-1.08-0.27-2.247-1.367-0.275-0.84-4.481-0.84+0.26-0.535-1.075-0.56-0.57-0.84-0.26-0.275-2.535-0.565-1.108-0.28-0.206-0.193-4.212-0.652-3.658-3.838-4.495-0.278-0.277-0.275-0.28+20.138-1.02-1.125-0.28-1.69-4.473-0.285-0.285-0.07-1.966-1.685-0.57-8.133-1.97-9.216+0.032+5.014+3.018-1.007+20.234-2.53-0.277-0.003-0.565-0.76-0.285-0.565-4.499+2.194+17.598-0.281-0.84-1.126-1.13-0.009-0.273-0.75-0.275-0.275-0.55</f>
        <v>33.304999999999978</v>
      </c>
      <c r="F319" s="25">
        <v>137500</v>
      </c>
    </row>
    <row r="320" spans="1:6">
      <c r="A320"/>
      <c r="B320" s="30" t="s">
        <v>234</v>
      </c>
      <c r="C320" s="30" t="s">
        <v>383</v>
      </c>
      <c r="D320" s="30" t="s">
        <v>233</v>
      </c>
      <c r="E320" s="53">
        <f>27.02-0.025-1.975-0.73+3.48+3.16+3.12-0.805-0.195-1.325-0.275-3.12-3.48-0.78-0.56-0.78-0.425-0.245-0.41-1.57-0.015-0.135-0.005-2.3+0.005-2.63-0.865-0.03-4.655-0.67-0.26-0.76-2.42-1.39-1.39-1.3+1.506+5.046+3.9-5.046+1.66-0.78-1.506-0.02-0.915+3.24+1.935+3.09+0.605+4.72-0.228-0.925-1.045-3.24-1.66-1.935-2.045-0.605-4.745-0.01-0.02-2.085+0.025+0.025+11.22+12.34-0.279-0.824-0.025-0.427+0.25+0.611+0.52-0.28-0.148-2.155-0.54-0.164-1.074-0.268-0.611-0.218+0.011-0.274-0.001-0.272-8.16-0.272-0.274-0.272-0.278-0.264+1.42+1.272-0.266-0.37-0.27-0.27-0.803-0.536-0.275-4.6+0.118+20.756-1.52-12.157</f>
        <v>10.57299999999999</v>
      </c>
      <c r="F320" s="25">
        <v>140000</v>
      </c>
    </row>
    <row r="321" spans="1:6">
      <c r="A321"/>
      <c r="B321" s="30">
        <v>20</v>
      </c>
      <c r="C321" s="30" t="s">
        <v>384</v>
      </c>
      <c r="D321" s="30" t="s">
        <v>233</v>
      </c>
      <c r="E321" s="53">
        <f>54.676-1.26-0.315-0.605-0.96-0.305-0.3-0.905-0.31-0.29-1.21-2.124-0.3-1.88-1.52-3.971-0.315-1.21-0.321-2.179-0.32-0.271-0.044-0.607-1.5-0.316-1.21-3.02-0.602-0.87-0.035-0.11-0.169-0.611-0.315-1.575-0.305-2.735-2.43-0.263-0.604-0.078-0.908-0.302-1.825-0.305-0.305-0.31-0.305-1.525-0.305-0.305-2.125-0.26-0.055-0.306+4.127+20.66-0.32+0.175-0.265-1.505-0.3+19.681-2.368-0.295-1.48-0.295-0.281-0.263-1.561-2.654-0.306-0.3-0.208-0.382-0.295-4.776-0.295-1.18-2.072-0.3-0.299-0.001-2.99-0.295-0.198-0.392-0.3</f>
        <v>25.732000000000014</v>
      </c>
      <c r="F321" s="25">
        <v>137500</v>
      </c>
    </row>
    <row r="322" spans="1:6">
      <c r="A322"/>
      <c r="B322" s="28" t="s">
        <v>1041</v>
      </c>
      <c r="C322" s="30" t="s">
        <v>384</v>
      </c>
      <c r="D322" s="30" t="s">
        <v>233</v>
      </c>
      <c r="E322" s="53">
        <f>4.63</f>
        <v>4.63</v>
      </c>
      <c r="F322" s="25">
        <v>137500</v>
      </c>
    </row>
    <row r="323" spans="1:6">
      <c r="A323"/>
      <c r="B323" s="28">
        <v>35</v>
      </c>
      <c r="C323" s="30" t="s">
        <v>1097</v>
      </c>
      <c r="D323" s="32" t="s">
        <v>930</v>
      </c>
      <c r="E323" s="55">
        <f>0.18</f>
        <v>0.18</v>
      </c>
      <c r="F323" s="102">
        <v>105000</v>
      </c>
    </row>
    <row r="324" spans="1:6">
      <c r="A324"/>
      <c r="B324" s="30" t="s">
        <v>234</v>
      </c>
      <c r="C324" s="30" t="s">
        <v>384</v>
      </c>
      <c r="D324" s="30" t="s">
        <v>233</v>
      </c>
      <c r="E324" s="53">
        <f>2.863+2.9+3.16+7.299+10.929+3.643-0.3-0.29-0.915-3.64-0.292-3.345-1.83-2.9-1.145-0.31-0.31-0.92-1.22-0.295-0.305-0.001-0.305-0.865-0.86-3.651-3.648-0.583-0.027+4.933+4.932+0.297+3.994+4.917-0.591-0.271-0.297-4.917-0.93-1.1-0.595+0.02-0.61-0.92+4.12-2.16+9.479+0.599+4.766+4.754-0.31-0.3-0.3-1.49-2.144-0.55-2.162-1.56-0.3-1.2-1.21-1.224-0.346-0.3+0.665+1.588-0.23+19.893-0.3-4.833-2.7-0.283-0.282-0.3-1.805-0.3-0.815-0.3+0.46-0.3-0.298+0.043-0.266-0.034-2.09-0.305-0.305-0.3-0.3-0.6-1.51-1.807-3.62-0.3-0.27-0.3-0.435-1.325-0.3-1.135+0.007-1.202-3.024-2.664-0.016-0.205-0.095-0.3-1.78-0.27-0.6+13.36+4.867-1.515-0.299-0.001-0.9-2.13-11.843-0.306-1.517-0.608-1.48+0.122-0.55+21.597-0.915-0.305</f>
        <v>21.990000000000006</v>
      </c>
      <c r="F324" s="25">
        <v>142500</v>
      </c>
    </row>
    <row r="325" spans="1:6">
      <c r="A325"/>
      <c r="B325" s="30">
        <v>20</v>
      </c>
      <c r="C325" s="30" t="s">
        <v>932</v>
      </c>
      <c r="D325" s="30" t="s">
        <v>233</v>
      </c>
      <c r="E325" s="53">
        <f>0.916+0.275-0.605-0.586+0.586-0.586+0.916+0.275-0.605-0.586+0.586-0.275-0.225</f>
        <v>8.6000000000000271E-2</v>
      </c>
      <c r="F325" s="25">
        <v>105000</v>
      </c>
    </row>
    <row r="326" spans="1:6">
      <c r="A326"/>
      <c r="B326" s="30">
        <v>20</v>
      </c>
      <c r="C326" s="30" t="s">
        <v>385</v>
      </c>
      <c r="D326" s="30" t="s">
        <v>233</v>
      </c>
      <c r="E326" s="53">
        <f>32.665-0.31-1.016-4.095-1.55-1.03-1.24-0.308-1.238-0.93-2.168-0.62-1.548-2.168-2.168-0.31-0.928-2.168-0.94-4.25-0.618-0.3-0.51-0.055-0.335+0.006-0.285-0.57-0.525-0.015-0.287+0.072+3.777+4.437+4.476+4.466+4.453+16.446-0.69+4.083-2.412-10.259-1.375-1.712+7.928+11.905-0.345-2.4-1.028-0.345-0.345-1.347-0.361-1.021-1.375-0.69-2.056-0.33-0.66+7.244+2.147-0.379-0.286-2.64-0.69-3.062-1.383</f>
        <v>34.429000000000023</v>
      </c>
      <c r="F326" s="25">
        <v>137500</v>
      </c>
    </row>
    <row r="327" spans="1:6">
      <c r="A327"/>
      <c r="B327" s="28">
        <v>45</v>
      </c>
      <c r="C327" s="30" t="s">
        <v>385</v>
      </c>
      <c r="D327" s="30" t="s">
        <v>233</v>
      </c>
      <c r="E327" s="53">
        <f>5.465-0.265</f>
        <v>5.2</v>
      </c>
      <c r="F327" s="25">
        <v>161000</v>
      </c>
    </row>
    <row r="328" spans="1:6">
      <c r="A328"/>
      <c r="B328" s="30" t="s">
        <v>234</v>
      </c>
      <c r="C328" s="30" t="s">
        <v>385</v>
      </c>
      <c r="D328" s="30" t="s">
        <v>233</v>
      </c>
      <c r="E328" s="53">
        <f>44.684-2.018-1.686+20.899+4.452+0.232+1.552+0.866-1.374-0.678-0.317-2.045-0.966-4.429-1.015+18.935-0.232-6.062-0.68-1.692-4.431-1.699-0.68-1.676-0.336-2.381-0.34-0.334-2.705-0.301-0.672-0.001-0.713-2.416-0.677-2.039-2.56-0.95+0.048-0.34-2.013-0.713-0.305-0.31-0.305-0.605-0.31-1.01-0.675-0.31-2.352-4.062-4.052-4.063-2.38-2.335-1.345+15.526-2.02+19.425-0.266-0.32-0.67+0.012-1.29-1.6-1.292-0.236-0.577-3.579-0.65-0.271-0.243-1.31</f>
        <v>36.71700000000002</v>
      </c>
      <c r="F328" s="25">
        <v>142500</v>
      </c>
    </row>
    <row r="329" spans="1:6">
      <c r="A329"/>
      <c r="B329" s="30">
        <v>20</v>
      </c>
      <c r="C329" s="30" t="s">
        <v>1127</v>
      </c>
      <c r="D329" s="32" t="s">
        <v>930</v>
      </c>
      <c r="E329" s="53">
        <f>1.58-0.39</f>
        <v>1.19</v>
      </c>
      <c r="F329" s="102">
        <v>105000</v>
      </c>
    </row>
    <row r="330" spans="1:6">
      <c r="A330"/>
      <c r="B330" s="30">
        <v>20</v>
      </c>
      <c r="C330" s="30" t="s">
        <v>386</v>
      </c>
      <c r="D330" s="30" t="s">
        <v>233</v>
      </c>
      <c r="E330" s="53">
        <f>5.11-0.9-0.29-0.295-0.29+0.04-0.35-0.295+2.93+2.94+4.954-0.36-0.265-0.59-3.38-0.37+0.035-1.309-2.94-2.35-0.29+0.01-0.87+0.51+3.96+3.71+3.43+3.69+5.185-0.875+3.99-0.92-1.72-0.918-0.116-0.265-0.027-0.127-0.27-0.3-0.275+5.72-0.93+4.296-0.535-0.29-0.275-0.536-1.31-0.27-2.12-1.54-0.265-2.635-0.54-0.615-1.072-1.06+0.005-0.305+0.043-0.535-1.074-0.27-1.42-1.875-0.52-0.005-0.522-0.535+5.13+5.13-0.272-1.07-1.32-0.965-0.51-1.035-0.55-0.28-0.54-0.27-0.64-1.1-0.755-0.32-0.03-0.325-1.285-0.965-0.327-3.845+0.005-0.965-0.325-0.215-0.025-0.005+0.03+4.111+4.113+4.113+4.125+4.11+1.645-0.325-1.645-4.125-0.317-0.28+0.019+0.235+4.179+4.218+4.195+4.217+1.686+4.213-0.3+0.065+21.718-1.19-0.82-0.825-1.195-0.41-0.4-0.396-1.235-1.23-0.396-0.825-0.792-0.792-0.411-0.004-0.398-4.113-0.408-0.41-1.235-4.11-0.411-2.95-0.421-1.192-2.528-0.845-1.187-2.53-1.263-0.84-10.661-0.42-0.395-1.665-0.005-0.835-4.213-0.004-0.84-2.095+17.023+4.161-1.583-4.145-0.414-0.415-0.425-1.66-0.415-1.245-1.242-0.4</f>
        <v>13.217999999999998</v>
      </c>
      <c r="F330" s="25">
        <v>139900</v>
      </c>
    </row>
    <row r="331" spans="1:6">
      <c r="A331"/>
      <c r="B331" s="30" t="s">
        <v>234</v>
      </c>
      <c r="C331" s="30" t="s">
        <v>386</v>
      </c>
      <c r="D331" s="30" t="s">
        <v>233</v>
      </c>
      <c r="E331" s="53">
        <f>4.7-2.365-0.525+2.63+0.86-1.29-2.63-0.86+2.98+2.08-0.526+0.006-1.965+2.92+0.84+0.55-0.84-0.275+0.58+1.16-0.61+0.03-2.92-2.08-0.722-0.3-1.16-0.3+0.032+0.26+1.74+2.04+0.29+0.27+0.56+0.54+4.36+10.006-0.54-0.26-0.865-1.15+3.35+3.57+0.27-0.265-3.08-0.27-0.27-0.56-0.59-0.27-4.36-9.471-1.63-0.58-0.87-0.29-0.3-0.295-0.005-0.28-0.27-0.29+1.8-0.28+0.055+2.57+0.28+0.55+0.28+0.27+0.85+3.81+3.8+2.258+3.784+3.788+3.812-0.39-0.28-0.55-0.375-1.715-0.36-0.385-3.8-3.784-1.14-0.27-1.02-0.77-3.42-2.258+4.205+4.198+2.093+4.199+4.186-0.385-2.518-0.415-3.788-0.385-0.84-1.685-0.855-0.27-0.005-0.432-4.198-0.408-0.42-0.85-0.84-0.42-0.42-0.42-0.84-0.826-3.78+21.355-1.255-0.013-0.406-0.42-1.67-1.249-0.84-0.42-0.42-0.42-15.326+0.018+2.218+21.61-6.034-1.573</f>
        <v>16.641000000000002</v>
      </c>
      <c r="F331" s="25">
        <v>152500</v>
      </c>
    </row>
    <row r="332" spans="1:6">
      <c r="A332"/>
      <c r="B332" s="30">
        <v>20</v>
      </c>
      <c r="C332" s="30" t="s">
        <v>387</v>
      </c>
      <c r="D332" s="30" t="s">
        <v>233</v>
      </c>
      <c r="E332" s="53">
        <f>19.739-4.63-0.74-1.835-0.941-0.925-3.242-0.465-1.85-1.385-1.605-1.666+20.931-2.244-0.907-2.735-3.195-3.189+19.257-0.855-3.005-0.425-2.74-1.821-0.91-0.455-0.24-0.215-2.735-0.43-0.43-0.155-0.27-0.425</f>
        <v>13.262000000000009</v>
      </c>
      <c r="F332" s="25">
        <v>147500</v>
      </c>
    </row>
    <row r="333" spans="1:6">
      <c r="A333"/>
      <c r="B333" s="30" t="s">
        <v>234</v>
      </c>
      <c r="C333" s="30" t="s">
        <v>387</v>
      </c>
      <c r="D333" s="30" t="s">
        <v>233</v>
      </c>
      <c r="E333" s="53">
        <f>5.865-0.64-0.3-0.965-0.61+0.065-1.195-0.32-0.345+0.035-0.335-0.625+0.66+3.83+0.55+5.342-0.6-0.3-0.32-0.22-0.89-0.89-0.31-1.15-0.58+0.03-0.765-0.26-1.54-0.226-0.255-1.81-0.485+5.31+2.655+2.7+4.196+4.1-0.262-0.265-1.66-0.34-1.98-0.27-2.115-1.67-0.22-2.715-2.315-1.284-1.351+0.006+0.015-0.275-2.085-0.227+3.28+1.32+2.63+1.61+0.93+0.61-0.322-0.32-0.326-2.312-1.32-2.63-1.61-0.93-0.616-0.26+0.006+4.675+4.218+4.67+4.665-0.47+1.876-0.94-0.47-0.466-0.94-4.67-0.47-0.47-3.265-3.278-4.665+20.988-0.92-0.462-1.372-0.465-0.47-2.295-0.92-0.46-0.46-2.745-1.37-0.46-0.465-0.46+2.647+4.43+14.576-0.46-0.46-1.816-0.46</f>
        <v>26.249999999999989</v>
      </c>
      <c r="F333" s="25">
        <v>152500</v>
      </c>
    </row>
    <row r="334" spans="1:6">
      <c r="A334"/>
      <c r="B334" s="30">
        <v>20</v>
      </c>
      <c r="C334" s="30" t="s">
        <v>388</v>
      </c>
      <c r="D334" s="30" t="s">
        <v>233</v>
      </c>
      <c r="E334" s="53">
        <f>0.66+2.65+2-0.66-1-0.33-1.01-0.325-0.335-0.34+0.01-0.33-0.335-0.655+2.64+2.65-0.36-0.545-1.988+0.91-0.005-0.997-0.665-0.34-0.334+5.41-5.41-0.312-0.688+0.034+2.53+2.88-0.365-1.077-0.72-0.718-2.537+0.007+4.65+4.658+4.654+4.651+3.713-4.18-4.651-2.8-0.47-0.47-4.658-4.654-0.443+20.334-0.445-8.847-2.645+3.558+4.457+4.451+4.451+4.453-3.563-0.445-1.35-0.445-0.445-1.763-0.004-0.013-0.445-0.891-0.45-0.445-0.445-4.451-0.451-1.77-0.44-1.331-0.89-0.445-0.445+20.809-0.446-4.327-0.441-1.297</f>
        <v>23.137999999999998</v>
      </c>
      <c r="F334" s="25">
        <v>144900</v>
      </c>
    </row>
    <row r="335" spans="1:6">
      <c r="A335"/>
      <c r="B335" s="30" t="s">
        <v>234</v>
      </c>
      <c r="C335" s="30" t="s">
        <v>388</v>
      </c>
      <c r="D335" s="30" t="s">
        <v>233</v>
      </c>
      <c r="E335" s="53">
        <f>6.322-0.374-0.98-0.98-0.655+0.005-0.34-1.975-0.375-0.665+0.017+0.34+0.65+0.57+2.98+0.93-0.34-0.93-0.995-1.985-0.57-0.665+0.015+2.63+2.63+2.04+0.95+1.65+2.62-0.99-0.106-0.66-1.01-0.95-0.99-2.62-2.04-2.63-0.34-0.229+0.045+0.65+5.4-0.65-0.345-0.685-3.04+4.915-0.36-0.365-2.27+1.03+0.32+2.48+1.06-1.145-0.399-1.335+0.005-1.03-1.06-0.32-2.48-0.38+0.004+4.656+4.657+3.721+7.413-3.26-0.461-0.935-0.465-1.86-0.467-0.935-1.4-6.478-0.93+5.68+0.442+4.418+4.414+4.407+2.646+4.411-0.38-0.4-1.39-0.885-0.442-4.407-2.646-1.866-0.88-0.445-0.885-0.38-0.385-0.38-4.418-4.414-1.316-0.4</f>
        <v>3.3550000000000071</v>
      </c>
      <c r="F335" s="25">
        <v>152500</v>
      </c>
    </row>
    <row r="336" spans="1:6">
      <c r="A336"/>
      <c r="B336" s="30">
        <v>20</v>
      </c>
      <c r="C336" s="30" t="s">
        <v>389</v>
      </c>
      <c r="D336" s="30" t="s">
        <v>233</v>
      </c>
      <c r="E336" s="53">
        <f>4.912+4.57+1.265+4.585+0.37-0.37-3.185-0.355-0.465-0.465-0.36-3.19-0.45-0.01-0.35-0.327-0.028-0.414-2.756-0.464-1.375-0.432-0.377-0.058+0.036-0.354+0.047+4.745+0.45-4.745-0.45+2.52+2.88-0.72-1.085-2.52-0.715-0.01+5.15+5.14+5.12-0.365+0.015+4.98+3.8+0.425+5.025-5.12-4.46-0.425-0.42-1.66-0.84-0.36-5.15-1.68-1.27-0.42-5.025-0.85-0.35+0.03-0.42-1.25+0.03+2.42+0.22+4.04+6.54-0.22-0.242-0.248+5.224-0.375-0.37-0.32+0.9-2.89-0.375-1.485-0.37-0.305-4.405-0.37-0.37-0.62-0.66-2.42-0.89-1.509-0.911+0.011+1.784+4.46+4.461+4.462+1.786+3.567-0.445-1.784-4.46-2.24-1.786-1.327-4.461-4.017+3.579+4.485+4.482+4.478+4.48-0.45-3.579-4.482-4.48-0.895+2.675+4.468+4.465-0.445+1.74+4.352+4.357-4.02-2.695-0.458-2.675-0.457-0.888-0.448-1.74-0.435-0.44-1.305-0.437-0.87-0.435-2.18-1.302-3.98+20.642-1.79-0.45-0.45-0.058-0.022-0.81-3.982-1.508-0.445-0.063-0.377-1.595-0.4-0.4-0.391</f>
        <v>12.365999999999996</v>
      </c>
      <c r="F336" s="25">
        <v>146000</v>
      </c>
    </row>
    <row r="337" spans="1:6">
      <c r="A337"/>
      <c r="B337" s="30" t="s">
        <v>234</v>
      </c>
      <c r="C337" s="30" t="s">
        <v>389</v>
      </c>
      <c r="D337" s="30" t="s">
        <v>233</v>
      </c>
      <c r="E337" s="53">
        <f>6.97-0.325-0.325+0.37+0.33+4.48+0.35-0.35-0.37-0.395-0.332-2.16-1.78-1.71-0.67-4.085+0.002+7.655+1.38+0.65+0.37+1.5+1.86+1.85+0.68-1.38-0.65-2.27-5.02+0.33+0.85-1.108+0.49-0.393+0.028-0.37-0.392-1.86-0.738+4.78+0.43-0.28-0.33+0.405-4.36-0.43-0.01-0.248-0.328-0.44-0.405+0.03-0.36-0.68-0.06-0.585+0.015-0.376-0.242+0.012+3.531+17.654-1.546-1.546-1.546-0.445-6.186-0.445+2.762+4.604+4.605+4.604+4.595-0.445-0.925-4.604-4.595-0.925-0.465-0.915-0.925-0.92-0.446-2.762-1.845-0.445-0.444-0.021-1.33-1.791-1.824+3.846+3.85+3.847+3.845+3.843+1.539-0.45-1.556-0.885-0.78-0.885-0.78-0.895-0.445+0.057+0.045-0.775-1.535-3.843-0.004-1.533-3.85-0.77-3.076-0.741-0.771-2.333+0.021+14.859-3.33-0.365-0.375-2.61-2.239-0.751-0.366-2.232-2.225-0.366+6.7-0.33-0.36</f>
        <v>6.0099999999999891</v>
      </c>
      <c r="F337" s="25">
        <v>161000</v>
      </c>
    </row>
    <row r="338" spans="1:6">
      <c r="A338"/>
      <c r="B338" s="30">
        <v>20</v>
      </c>
      <c r="C338" s="30" t="s">
        <v>390</v>
      </c>
      <c r="D338" s="30" t="s">
        <v>233</v>
      </c>
      <c r="E338" s="53">
        <f>3.135-1.585+2.73+2.72-1.195+0.025-0.4+0.02-2.73-2.35+4.03+3.67-0.38+0.01-0.41-0.82-2.04-3.62-0.415-0.395+3.84+7.225+0.43+0.41-5.445+5.32-1.27-0.42-0.41-4.955-0.385-0.425+0.02-0.43-0.905-1.715-0.46-0.45+0.025+6.971-0.54-0.53-1.065-0.535-0.54-1.08-2.685+0.004+4.61-0.92-0.47-0.586+0.586-0.47-0.94-0.93-0.92+0.04+3.05+2.445+3.06-0.615-1.22-3.06-3.05-0.61+4.726+4.73+1.42-4.73-1.42-1.91+16.724-0.96-0.475+15.956-8.01-0.62-0.48-0.901-0.049-16.724+16.724-0.62-0.61-1.23-3.695+1.326-0.62-0.615+0.113-0.33-0.655</f>
        <v>17.064999999999994</v>
      </c>
      <c r="F338" s="25">
        <v>145000</v>
      </c>
    </row>
    <row r="339" spans="1:6">
      <c r="A339"/>
      <c r="B339" s="30">
        <v>20</v>
      </c>
      <c r="C339" s="30" t="s">
        <v>391</v>
      </c>
      <c r="D339" s="30" t="s">
        <v>233</v>
      </c>
      <c r="E339" s="53">
        <f>7.956-1.015+0.015-1.82+0.005-2.26-0.015-0.46-0.45+0.015-0.636-1.378+0.043+4.66+3.85+0.42-1.27-0.435-0.43-0.425-0.43-0.44-0.435-0.795-0.055-0.435-0.43-0.42-0.86-0.435-1.71+0.075+6.685-0.515-1.028-1.03-0.51-0.53-0.52-0.52+2.47-0.492-1.04-0.535-1.995-0.44+5.345-1.607-0.535-0.55-0.54-0.53-0.535-0.535-0.538+0.025+7.992-0.43+4.94-0.52-0.615-0.615-0.615-0.615-0.615-0.62-0.625-1.325-0.4-0.62-0.395+4.725-0.53-0.532+0.86-0.52+4.848-2.135-0.525-0.53-0.44-1.19-0.43+0.01-0.605-1.045+0.032-0.6-0.605-2.255-0.615-1.22-0.805-0.327-0.108-0.38+10.39-0.635-0.618-1.845-1.24-1.83-1.835-0.625-0.61-0.605+5.43+4.805-0.495-0.5-0.5-0.5-1.005-0.485-0.5-1-0.503-0.61+0.063-0.425-0.493-0.484-0.995-0.465-0.04+0.023-0.48</f>
        <v>1.3879999999999999</v>
      </c>
      <c r="F339" s="25">
        <v>156000</v>
      </c>
    </row>
    <row r="340" spans="1:6">
      <c r="A340"/>
      <c r="B340" s="30" t="s">
        <v>234</v>
      </c>
      <c r="C340" s="30" t="s">
        <v>391</v>
      </c>
      <c r="D340" s="30" t="s">
        <v>233</v>
      </c>
      <c r="E340" s="53">
        <f>1.77-1.77+1.97+2.914+0.94-0.94-1.455-0.495+7.695-3.06-1.036-1.035-2.065+5.25</f>
        <v>8.6830000000000016</v>
      </c>
      <c r="F340" s="25">
        <v>164000</v>
      </c>
    </row>
    <row r="341" spans="1:6">
      <c r="A341"/>
      <c r="B341" s="30">
        <v>20</v>
      </c>
      <c r="C341" s="30" t="s">
        <v>392</v>
      </c>
      <c r="D341" s="30" t="s">
        <v>233</v>
      </c>
      <c r="E341" s="53">
        <f>2.805-0.755-0.31+0.135-0.325-0.315+2.67+2.67-0.31-0.315-0.89-0.31-0.45-0.45-0.88-0.015-0.3-2.67+0.015+2.755+2.21+0.55-0.55-1.105-0.56-0.56-2.21-0.53+6.15+0.46+4.24-0.515+1.035-2.055-0.46-0.522-3.77-1.035-0.47-1.03-1.565-0.518+0.055+5.335-0.55-1.055-0.55-0.535-1.615-0.53-0.515+0.015+5.195+3.705-1.735-0.62-3.025+4.83+6.09-0.62-1.825-2.465-0.605-1.24-0.605-0.605-3.7-0.62-1.19-0.61+0.08+7.69-0.514-0.514-1.03-1.01-0.435+9.848-0.622-0.518-4.125+0.021-0.62-1.235-0.62-2.46-0.62-0.62-1.24-1.24+5.2+4.17-0.523-1.567+1-0.53-1.042-0.505-2.093-0.528-1.045-0.528-0.5+0.005-0.571</f>
        <v>1.514000000000004</v>
      </c>
      <c r="F341" s="25">
        <v>156000</v>
      </c>
    </row>
    <row r="342" spans="1:6">
      <c r="A342"/>
      <c r="B342" s="30" t="s">
        <v>234</v>
      </c>
      <c r="C342" s="30" t="s">
        <v>392</v>
      </c>
      <c r="D342" s="30" t="s">
        <v>233</v>
      </c>
      <c r="E342" s="53">
        <f>6.375-1.07-1.605-1.06+7.86-0.537-0.62-3.19-1.03-1.06+6.085-0.5-0.52-0.535-0.423-0.594</f>
        <v>7.5759999999999996</v>
      </c>
      <c r="F342" s="25">
        <v>166000</v>
      </c>
    </row>
    <row r="343" spans="1:6">
      <c r="A343"/>
      <c r="B343" s="30">
        <v>20</v>
      </c>
      <c r="C343" s="30" t="s">
        <v>393</v>
      </c>
      <c r="D343" s="30" t="s">
        <v>233</v>
      </c>
      <c r="E343" s="53">
        <f>4.995+0.5-0.565-0.5-1.135-1.13-1.11-0.555-0.005+4.65+4.57-0.58+0.085-0.515-0.42-2.05-0.83-0.51-0.845-0.84-0.43-0.44-0.505-0.52-0.47-0.035-0.85+0.04+2.12+3.6-0.35-1.06-0.71+0.495-3.6-0.51+0.015+4.905-1.238-1.82-0.63-0.622-0.626+0.031+3.724+3.218-0.54-0.54-1.615-0.53-0.53-1.06+4.818-1.08-0.54-1.385-0.695+5.93-0.7-0.5-0.5-1.39-0.648-0.037-0.5-0.078-0.462+0.07-0.495</f>
        <v>3.9350000000000023</v>
      </c>
      <c r="F343" s="25">
        <v>159000</v>
      </c>
    </row>
    <row r="344" spans="1:6">
      <c r="A344"/>
      <c r="B344" s="30">
        <v>20</v>
      </c>
      <c r="C344" s="30" t="s">
        <v>394</v>
      </c>
      <c r="D344" s="30" t="s">
        <v>233</v>
      </c>
      <c r="E344" s="53">
        <f>3.34-2.485-0.42-0.42-0.015+2.64+0.53-0.53-0.53+5.412-1.632</f>
        <v>5.89</v>
      </c>
      <c r="F344" s="25">
        <v>159000</v>
      </c>
    </row>
    <row r="345" spans="1:6">
      <c r="A345"/>
      <c r="B345" s="31" t="s">
        <v>928</v>
      </c>
      <c r="C345" s="30" t="s">
        <v>395</v>
      </c>
      <c r="D345" s="30" t="s">
        <v>233</v>
      </c>
      <c r="E345" s="53">
        <f>1.99-1.9-0.124+0.034+3.44+3.47-0.135-0.13-0.133-0.145-1.48-0.135-0.145-0.42-0.135-1.34-1.585+4.52-1.165-2.33-0.13-0.125-0.52+0.52-0.13-0.132+0.012-0.14+4.8-0.25-0.25-0.39-0.13-0.135-2.24-0.72-0.24-0.62+0.108-1.495+0.055+2.51+1.895+1.884-2.51-0.126-1.78+0.011-1.18-0.3+2.75+2.792+1.758+2.74+2.735+2.753+2.509+2.786-0.865-0.15-1.888-0.155-0.9-1.599-1.025-0.29+0.041-0.145-1.187-0.284-0.15-0.145-2.75-2.74+6.301+8.369+6.519-0.635-0.164-0.96-0.14-0.16-0.158-1.15-0.145-0.294-0.525-1.615-0.16-1.902-0.16-2.053-0.162-0.492-0.542-0.178-0.16-1.265-2.526-0.163-0.162-0.286-0.824-0.345-0.17-0.168-0.945-1.816-0.156-0.315-0.165-0.17-0.167-6.85+0.064</f>
        <v>-1.8318679906315083E-15</v>
      </c>
      <c r="F345" s="25">
        <v>146000</v>
      </c>
    </row>
    <row r="346" spans="1:6">
      <c r="A346"/>
      <c r="B346" s="30" t="s">
        <v>234</v>
      </c>
      <c r="C346" s="30" t="s">
        <v>395</v>
      </c>
      <c r="D346" s="30" t="s">
        <v>233</v>
      </c>
      <c r="E346" s="53">
        <f>4.215+0.65-0.65-2.44-0.67+2.465+2.62-0.13-0.14-0.265-2.092-0.132-0.131-0.125+4.495-0.445-0.516-0.111-2.104-4.495+0.001</f>
        <v>-3.3393426912553537E-16</v>
      </c>
      <c r="F346" s="25">
        <v>164000</v>
      </c>
    </row>
    <row r="347" spans="1:6">
      <c r="A347"/>
      <c r="B347" s="30">
        <v>20</v>
      </c>
      <c r="C347" s="30" t="s">
        <v>52</v>
      </c>
      <c r="D347" s="30" t="s">
        <v>233</v>
      </c>
      <c r="E347" s="53">
        <f>2.69+2.7-0.447-2.7-0.295-0.16-0.16-0.75-0.31+3.82+1.19-0.15-0.15-0.155-0.16-0.253-3.82-0.902+0.012+2.83+4.765-0.152-0.145-0.152-0.152-2.832-0.154-0.29-0.145+4.092-0.3-0.135-1.05-0.205+0.027-3.887-0.16-0.28-0.135-0.275-0.28-0.28+3.824+3.827+12.347-0.43-1.43-12.347-3.824-2.397-0.28+0.005+3.828+3.837+12.355-1.005-0.605-0.605-2.018-1.41-0.205+0.205-0.205-2.02-7.896-0.6-0.405-0.2-1.839-1.212+1.002+3.809+3.802+3.802+3.809+3.815-0.21-1-0.4-1.2-0.21-2.04-0.2-0.21-0.625-0.379-0.021-0.205-0.21-0.21-0.2-1.46-0.8-0.41-0.2+0.034-0.91-0.6-1.562-0.605-0.2-2.197-0.2+19.119+1.002-0.205-0.405-0.117-0.027-0.656-0.2-0.81-0.6-1.015-0.581-0.008-0.6-1.6-0.2-0.398-0.205-7.853-2.015+20.726-0.2-2.614-18.919-1.006-0.405-0.2+4.53+15.209-9.464-0.2-9.524-0.4-2.185</f>
        <v>1.5829999999999993</v>
      </c>
      <c r="F347" s="25">
        <v>137500</v>
      </c>
    </row>
    <row r="348" spans="1:6">
      <c r="A348"/>
      <c r="B348" s="30" t="s">
        <v>234</v>
      </c>
      <c r="C348" s="30" t="s">
        <v>52</v>
      </c>
      <c r="D348" s="30" t="s">
        <v>233</v>
      </c>
      <c r="E348" s="53">
        <f>4.895+0.615-0.305-0.765-0.31</f>
        <v>4.1300000000000008</v>
      </c>
      <c r="F348" s="25">
        <v>147500</v>
      </c>
    </row>
    <row r="349" spans="1:6">
      <c r="A349"/>
      <c r="B349" s="30">
        <v>20</v>
      </c>
      <c r="C349" s="30" t="s">
        <v>396</v>
      </c>
      <c r="D349" s="30" t="s">
        <v>233</v>
      </c>
      <c r="E349" s="53">
        <f>4.8-0.77-1.35-0.185-0.2-2.305+0.01+4.16+4.23-1.33-1.89-0.205-0.384-0.19-3.846-0.444-0.185+0.084+3.39+4.93-0.186+1.84-3.39-2.49-0.39-0.56-0.19-1.102-1.895+0.035+0.008+9.727-0.544-2.98-6.233+0.03+20.897-3.22-3.195-1.34-5.361-0.27-0.54-1.345-1.328-0.27-0.81-2.96+4.271+4.261+4.292+4.307+3.499-0.54-0.81-0.54-1.08-4.261-1.337-3.499-1.337-2.145-4.271-0.81-0.27+0.012+4.159+3.114+2.602+2.605+4.161+4.158-4.159-0.26-3.114-4.161-4.158-2.35-2.342-0.013-0.26+0.018+20.957+18.116+1.6+0.036-1.865-1.865-1.331-1.065-1.865-1.589-1.41-0.24-0.24-0.28-0.8-0.023-2.365-2.836-1.406-0.52-1.065-1.865-1.865-1.865-0.555-9.924-0.28-1.177-1.065-1.316-0.031-0.001+20.861-4.28-0.805-2.675-2.408-1.6-2.14-4.281-1.87-0.27-0.532+18.449-0.265-0.53-3.151-2.368-2.651-3.173-1.845-2.105-0.265-1.046-0.534+21.056-0.78-3.12-1.04-1.293-0.785-1.045-0.518-0.26-1.045-1.808-3.113-0.023-0.26-3.136-2.057+20.842-0.515-4.166-1.045-0.78-7.547-3.393-3.389-0.78-0.516+20.239-0.795-1.6-1.515-0.531-0.265-2.135-2.636-4.254-1.454-0.265-0.27-1.588-2.931+21.126-3.571+0.217</f>
        <v>17.772000000000002</v>
      </c>
      <c r="F349" s="25">
        <v>137000</v>
      </c>
    </row>
    <row r="350" spans="1:6">
      <c r="A350"/>
      <c r="B350" s="30" t="s">
        <v>234</v>
      </c>
      <c r="C350" s="30" t="s">
        <v>396</v>
      </c>
      <c r="D350" s="30" t="s">
        <v>233</v>
      </c>
      <c r="E350" s="53">
        <f>4.505+0.54-0.54-0.905-3.6+0.89+4.71+4.5-0.726-2.706-0.181-0.715-1.136-2.64-0.382-0.563-0.71+0.001+9.88-0.768-0.191-0.575-0.956-0.183</f>
        <v>7.5489999999999995</v>
      </c>
      <c r="F350" s="25">
        <v>163000</v>
      </c>
    </row>
    <row r="351" spans="1:6">
      <c r="A351"/>
      <c r="B351" s="30">
        <v>20</v>
      </c>
      <c r="C351" s="30" t="s">
        <v>397</v>
      </c>
      <c r="D351" s="30" t="s">
        <v>233</v>
      </c>
      <c r="E351" s="53">
        <f>0.64-0.16-0.16-0.16-0.16+4.1+0.16-0.97-0.15-3.13+1.84+2.62+2.63-1.84-0.21-1.205-0.225-0.21-0.2-0.405-0.61-0.21-0.205-1.58-0.45+0.25+0.155-0.01-0.19+0.045</f>
        <v>5.9674487573602164E-16</v>
      </c>
      <c r="F351" s="25">
        <v>156000</v>
      </c>
    </row>
    <row r="352" spans="1:6">
      <c r="A352"/>
      <c r="B352" s="30" t="s">
        <v>234</v>
      </c>
      <c r="C352" s="30" t="s">
        <v>397</v>
      </c>
      <c r="D352" s="30" t="s">
        <v>233</v>
      </c>
      <c r="E352" s="53">
        <f>20.67-1.47-3.556-3.536-2.369-0.3-2.657+20.176+0.528-0.296-16.093-0.874-0.288-2.656-2.076-0.901-0.268-0.881-1.758-0.587-0.528+20.855-0.29-0.285-0.285-1.449-2.025-0.295+0.015-0.29-0.29-1.445-0.577-1.16-0.29-0.29</f>
        <v>12.179</v>
      </c>
      <c r="F352" s="25">
        <v>163000</v>
      </c>
    </row>
    <row r="353" spans="1:6">
      <c r="A353"/>
      <c r="B353" s="30">
        <v>20</v>
      </c>
      <c r="C353" s="30" t="s">
        <v>398</v>
      </c>
      <c r="D353" s="30" t="s">
        <v>233</v>
      </c>
      <c r="E353" s="53">
        <f>8.335-1.64-0.235-0.042-0.235-0.235-2.045-0.22-2.28-0.7-0.67-0.02+4.66-0.235-0.235-0.235-1.87-2.1+0.015+0.7-0.48-0.24+0.02+4.955-0.24-0.245-4.47+4.32-0.225-1.325-0.225-0.225-0.23-1.1-0.225-0.875+0.11+3.16+1.68-3.16-0.848+20.282-10.147-1.535-0.615-2.452-0.31-0.212-0.21+18.567-8.073+0.879-0.214-0.295-1.19-0.3-8.4-0.584-0.31-0.208+0.012+1.5+3.606+3.606+3.623+3.613+3.623-0.305-0.305-0.891-0.91-0.605-2.091-0.022-0.3+14.135+3.071+3.07-0.31-0.9-2.105-0.62-0.315-0.282-0.018-0.605-1.195-0.913-0.295-0.3-0.288-3.613-1.205-0.905-3.075-1.513-5.224-1.544-0.925-0.62-1.169-0.061-0.31-0.935-0.31-2.77-3.126-3.071-1.196-0.273+0.056-0.013+20.469-0.915-0.305-2.105-1.789-0.321-0.3</f>
        <v>14.734000000000012</v>
      </c>
      <c r="F353" s="25">
        <v>137500</v>
      </c>
    </row>
    <row r="354" spans="1:6">
      <c r="A354"/>
      <c r="B354" s="30" t="s">
        <v>234</v>
      </c>
      <c r="C354" s="30" t="s">
        <v>398</v>
      </c>
      <c r="D354" s="30" t="s">
        <v>233</v>
      </c>
      <c r="E354" s="53">
        <f>4.56+0.61+0.22-0.61-0.85-0.22-0.215-0.21-1.05-0.21-0.205-0.425+5.025-0.22-0.22-0.425</f>
        <v>5.5550000000000006</v>
      </c>
      <c r="F354" s="25">
        <v>160000</v>
      </c>
    </row>
    <row r="355" spans="1:6">
      <c r="A355"/>
      <c r="B355" s="30">
        <v>20</v>
      </c>
      <c r="C355" s="30" t="s">
        <v>399</v>
      </c>
      <c r="D355" s="30" t="s">
        <v>233</v>
      </c>
      <c r="E355" s="53">
        <f>4.865-0.275-1.635+0.01-0.54-0.01-0.255-0.26-0.28-0.54-0.53+4.93-0.26-0.27-0.28-0.55-0.275-0.29-0.55-0.28-0.28-1.095-0.275-0.29-0.285+3.31+0.26+3.87+3.32-0.05-0.29-0.85-0.29-0.282-0.28-0.276-1.105-0.28-0.285-0.28-0.28-0.225-0.27-0.28-1.12-0.276-1.1-1.095-0.219-0.066-0.02+4.74-3.355-0.26-0.278-0.552-1.41+0.025+4.49-0.828+0.021-1.578-2.388-0.268+4.121+2.061+4.132+4.119+4.118+2.059-1.035-0.262+0.006-1.024-0.685-0.69-0.345-0.34-0.345-0.345-2.061-3.771-0.35-0.685-0.343-0.34-1.72-0.995-0.34+3.474+4.163+4.158+4.16+0.665+4.162-1.38-0.345-4.158-2.775-0.685-1.4-0.665-0.345-1.037-0.35-0.7-0.35-0.35-0.335-0.34-0.345-0.346-1.029-0.021-0.318-0.032-0.36-0.345-0.024-0.01-1.04-0.35-0.36-0.365-1.06-0.596-0.464-3.17+14.102+3.502+3.514-0.35-0.71-0.355-1.41-0.355-0.355-0.327-0.028-0.355-1.055-0.35-0.71-0.7-0.7</f>
        <v>14.029999999999998</v>
      </c>
      <c r="F355" s="25">
        <v>137500</v>
      </c>
    </row>
    <row r="356" spans="1:6">
      <c r="A356"/>
      <c r="B356" s="30" t="s">
        <v>234</v>
      </c>
      <c r="C356" s="30" t="s">
        <v>399</v>
      </c>
      <c r="D356" s="30" t="s">
        <v>233</v>
      </c>
      <c r="E356" s="53">
        <f>4.965-0.235-0.975-0.235-0.475-0.24-0.24</f>
        <v>2.5649999999999995</v>
      </c>
      <c r="F356" s="25">
        <v>152500</v>
      </c>
    </row>
    <row r="357" spans="1:6">
      <c r="A357"/>
      <c r="B357" s="30">
        <v>20</v>
      </c>
      <c r="C357" s="30" t="s">
        <v>400</v>
      </c>
      <c r="D357" s="30" t="s">
        <v>233</v>
      </c>
      <c r="E357" s="53">
        <f>7.389-1.91-0.3-0.322-0.32+0.012-0.308-0.3-0.302-0.308-0.308-0.612-1.515-0.302+2.52+2.53-0.33-0.295-0.305-1.59-0.94-0.63-0.306+0.017-0.305-0.02-0.33+5.05+0.3+4.635-1.67-0.66-2.32+0.015-5.05-0.325-0.335+0.05+1.53+2.42+0.29+0.92-0.29-2.12-0.615-0.305-0.3-0.015-0.3-0.31-0.93+4.715+4.718+4.718+3.142+4.72-0.395-0.395-0.395-0.395-0.79-0.785-0.395-0.395-0.39-0.785-0.383-0.785-1.18-1.57-1.18-0.395-0.395-4.72-0.393-0.39+10.082-0.782-1.97-2.52-0.785-1.088-0.022-0.393-1.572-1.1-2.436-2.597-0.319-0.361+0.086+21.286+4.625+4.655-0.335-1.165-0.346-1.693-0.331-0.78-0.656-0.78-1.55-0.39-0.331-0.66-0.32-1.94-1.16-1.33</f>
        <v>16.798999999999999</v>
      </c>
      <c r="F357" s="25">
        <v>147500</v>
      </c>
    </row>
    <row r="358" spans="1:6">
      <c r="A358"/>
      <c r="B358" s="30" t="s">
        <v>234</v>
      </c>
      <c r="C358" s="30" t="s">
        <v>400</v>
      </c>
      <c r="D358" s="30" t="s">
        <v>233</v>
      </c>
      <c r="E358" s="53">
        <f>4.065-0.34+0.945-0.34-1.685-0.34-0.34-0.685+7.47-0.335-0.333-0.32-0.98</f>
        <v>6.7819999999999983</v>
      </c>
      <c r="F358" s="25">
        <v>160500</v>
      </c>
    </row>
    <row r="359" spans="1:6">
      <c r="A359"/>
      <c r="B359" s="30">
        <v>20</v>
      </c>
      <c r="C359" s="30" t="s">
        <v>401</v>
      </c>
      <c r="D359" s="30" t="s">
        <v>233</v>
      </c>
      <c r="E359" s="53">
        <f>2.611+3.446+3.44+3.463+3.447+3.446+2.471-1.454-2.955-0.491-2.471-1.48-0.495-3.447-1.465-0.518-0.405-2.945-3.446-0.39-0.395+0.033+19.44-0.421-0.5-0.5-3.504-1.005-0.5-1.498-0.5-0.498-0.001-1.005-0.505+20.057-0.5-1-3.504-2.01-3.502-0.003-0.5-0.494-2.01-0.5-0.505-3.516-0.493-0.015-1.501-2.01-2.005-3.01</f>
        <v>1.9820000000000002</v>
      </c>
      <c r="F359" s="25">
        <v>147500</v>
      </c>
    </row>
    <row r="360" spans="1:6">
      <c r="A360"/>
      <c r="B360" s="30">
        <v>20</v>
      </c>
      <c r="C360" s="30" t="s">
        <v>402</v>
      </c>
      <c r="D360" s="30" t="s">
        <v>233</v>
      </c>
      <c r="E360" s="53">
        <f>2.65+2.26+0.76-0.76-0.377-0.38-1.14-0.382-0.371-0.011-0.742+3.54+3.54-0.378-1.42-2.12-1.065-2.475-0.382-0.382+3.75+1.72+0.425-1.27-0.415+1.42-1.25-0.385+0.02-0.36+4.95-1.72-0.415-0.365+3.95+3.96+2.675+7.71+0.75+2.635-0.77-0.42+0.02-0.385-0.4-0.425-1.15-0.005-0.695-0.39-0.385-0.385-0.38+0.01-0.385-0.802-0.36-0.793-0.76+0.035-0.38-0.375-0.835-0.78-0.415-0.42-0.39-0.394-0.398-0.402-0.422-0.425-0.054-0.4-0.408-0.425-0.405-1.25-0.42-0.398-0.395+0.024-1.15-0.39-0.048-0.39-0.796-0.75+0.025-0.395-0.785-0.78-0.39-0.39-0.772+0.835+5.84-0.395+0.365-0.423-0.77-0.75-0.025-0.39+0.067-0.365-0.42-1.25-0.42-0.423-0.42-1.252+21.316-0.428-0.415-0.55</f>
        <v>22.27399999999999</v>
      </c>
      <c r="F360" s="25">
        <v>147500</v>
      </c>
    </row>
    <row r="361" spans="1:6">
      <c r="A361"/>
      <c r="B361" s="30">
        <v>20</v>
      </c>
      <c r="C361" s="30" t="s">
        <v>403</v>
      </c>
      <c r="D361" s="30" t="s">
        <v>233</v>
      </c>
      <c r="E361" s="53">
        <f>7.112+0.475+4.705-0.39-0.39-0.105-0.47+0.475-3.29-1.295-0.475-0.95-0.375+0.01-0.785-1.725-0.426-1.31-0.436-0.395+0.032+0.008+5.405+3.55+3.55-0.795-2.755-3.565-0.9+0.015-2.685-1.83+0.01+5.115-0.45+0.49-0.47-0.49-1.86-2.34+0.005+3.68+3.26-0.41-0.41-1.616-0.816+4.08+6.295-1.35-0.412-0.41-4.08-3.15-0.815-0.41-0.455+2.3+4.61+0.745-0.38-0.376+0.011-0.455-0.412-0.455-0.41-2.3-0.41-0.45+0.02-0.77-0.39-0.77-1.54-0.762+3.23+4.82-0.378-0.012-1.065-2.15-0.393-0.021+0.017-2.13-0.54-1.085-0.535-0.545+11.197+8.265-0.59-0.59-2.944-0.59-1.17-0.59-2.37-1.175-1.77-1.185-1.77+19.202-0.59-0.584-3.506-1.75-0.15-0.586+20.096+1.143-2.355-0.586-0.585-5.824-0.596-0.595-3.5-0.575-1.17-0.585-0.568-2.955-1.777-0.595-2.96-0.585+0.224-7.71-0.59-1.178-0.002-1.62-0.59-0.01-0.123+21.275-0.59-0.59-1.18-0.583-0.59-4.14-4.139-1.179-1.185-1.177-4.139-0.595-0.59-0.584-0.006+20.67-4.589-0.591-0.575-0.575-0.575-2.868</f>
        <v>11.487999999999998</v>
      </c>
      <c r="F361" s="25">
        <v>147500</v>
      </c>
    </row>
    <row r="362" spans="1:6">
      <c r="A362"/>
      <c r="B362" s="30">
        <v>20</v>
      </c>
      <c r="C362" s="30" t="s">
        <v>404</v>
      </c>
      <c r="D362" s="30" t="s">
        <v>233</v>
      </c>
      <c r="E362" s="53">
        <f>3.36-1.275-0.887+0.005-0.84-0.365+0.002+0.43+4.98-0.905+4.42+0.98+0.48-0.46-0.465-0.905-0.48-0.5-0.425-0.43-0.455-0.45-0.495-0.455-0.455-0.005-2.475-0.495-0.485-0.98+0.03+2.95-2.465+0.98+7.43-0.495-7.43-0.495+0.01-0.495+0.01+1.85+1.84+1.38+0.43-1.85-1.84-0.914-0.434-0.466+0.004+4.11+3.685+4.11+3.065+3.06-0.595-2.375-0.615-0.615-3.685-2.45-2.49-3.515-1.735+0.045+15.074-5.44-3.635-1.205-4.81+0.016+5.836+4.086-5.836-1.17-0.59+2.53+7.96-1.165-0.58-2.53-3.09-2.55</f>
        <v>2.9010000000000007</v>
      </c>
      <c r="F362" s="25">
        <v>147500</v>
      </c>
    </row>
    <row r="363" spans="1:6">
      <c r="A363"/>
      <c r="B363" s="30">
        <v>20</v>
      </c>
      <c r="C363" s="30" t="s">
        <v>405</v>
      </c>
      <c r="D363" s="30" t="s">
        <v>233</v>
      </c>
      <c r="E363" s="53">
        <f>6.4-0.985-0.49-0.49-0.49-0.49-0.49-0.49-0.51-1.04+0.03+4.42+0.56+0.54-0.495-0.495-0.56-0.54+0.035-0.555-0.555-0.56-0.555-1.1-0.565+5.185-2.085+4.4-0.53-0.025-0.975-1.48-0.52-1.045-1.045-1.95+0.005-0.53+0.065+5.709-2.595+5.6+2.09-0.7-0.7-0.695+2.78-3.49-0.695-3.114-2.78-0.705-0.7-0.005+4.355+4.34+6.235-1.88-1.865-0.63-1.245-3.115-0.615-0.62-0.625-0.62-0.625-0.005-0.615-2.47+9.612-0.69-4.8-0.695-0.69-0.695-0.695+2.605+3.09-0.69-2.605-3.09-0.685+0.028+6.102+3.68-6.102-3.68+5.355-0.545-0.535+15.716-0.59-0.545-0.59-0.532</f>
        <v>17.733999999999995</v>
      </c>
      <c r="F363" s="25">
        <v>156000</v>
      </c>
    </row>
    <row r="364" spans="1:6">
      <c r="A364"/>
      <c r="B364" s="30">
        <v>20</v>
      </c>
      <c r="C364" s="30" t="s">
        <v>406</v>
      </c>
      <c r="D364" s="30" t="s">
        <v>233</v>
      </c>
      <c r="E364" s="53">
        <f>0.669+3.4+3.4-0.682-0.015-0.345-0.309-2.045-1.03-0.673-0.002-0.344-0.344-0.34-0.344-0.338-0.344+2.57+3.08-0.338+0.024-0.508+4.07-0.525-1.54-0.51-1.765-1.76-0.585-0.514+0.04-0.51-1.015+5.295-0.515-0.507-0.003-0.01-3.176-1.615+0.008-0.005+1.595+4.875+4.19+4.195+0.545-0.54-0.545-1.54-1.595-4.875-2.11-1.035-1.025-0.545-0.53-0.53-0.53+3.09+3.845+4.68+3.095-0.78-2.315-0.78-0.77-0.775-1.575-2.36-1.525+4.31+4.305+4.345-0.745-0.765-1.55-0.615-0.615-0.62-0.77-1.24-0.62-1.235-0.63-0.615-1.825-0.03-0.62-0.62-0.57-0.048-1.851-0.605-0.601+0.53</f>
        <v>0.52999999999999825</v>
      </c>
      <c r="F364" s="25">
        <v>156000</v>
      </c>
    </row>
    <row r="365" spans="1:6">
      <c r="A365"/>
      <c r="B365" s="30">
        <v>20</v>
      </c>
      <c r="C365" s="30" t="s">
        <v>407</v>
      </c>
      <c r="D365" s="30" t="s">
        <v>233</v>
      </c>
      <c r="E365" s="53">
        <f>5.796-0.35-1.68-0.355-0.69-0.34-0.685+0.009-1.385+2.91-0.585-2.33-0.345+0.005+0.025+1.68-1.68+4.88+5.477-1.085-0.535-3.22-1.6-0.122-0.545-2.16-1.09+5.435+2.28+3.065-1.525-2.04-2.28-0.68-0.685-2.05+0.02+4.97-0.77-4.97-0.755-0.015+10.002</f>
        <v>10.001999999999999</v>
      </c>
      <c r="F365" s="25">
        <v>156000</v>
      </c>
    </row>
    <row r="366" spans="1:6">
      <c r="A366"/>
      <c r="B366" s="30">
        <v>20</v>
      </c>
      <c r="C366" s="30" t="s">
        <v>1128</v>
      </c>
      <c r="D366" s="30" t="s">
        <v>233</v>
      </c>
      <c r="E366" s="53">
        <f>5.366</f>
        <v>5.3659999999999997</v>
      </c>
      <c r="F366" s="25">
        <v>156000</v>
      </c>
    </row>
    <row r="367" spans="1:6">
      <c r="A367"/>
      <c r="B367" s="30">
        <v>20</v>
      </c>
      <c r="C367" s="30" t="s">
        <v>408</v>
      </c>
      <c r="D367" s="30" t="s">
        <v>233</v>
      </c>
      <c r="E367" s="53">
        <f>4.356-0.47-0.245-0.122-0.236-0.23-1.79-0.956+2.23-0.242-0.122+0.057-2.23+2.01+2.93+0.9-5.84+2.125-2.125+0.904-0.105-0.11-0.182-0.212+3.314+3.444+3.32-0.1-0.12-0.108-0.114-3.08-1.4-0.23+2.708-0.118+8.848+4.448+1.902-0.12-0.234+2.61-0.225-0.234-0.12-0.125-0.116-0.238-0.12-0.12-0.24-0.456-0.117-1.05-0.596-0.46-0.58-2.24-3.552-1.486-0.24-12.912+0.029+0.006+0.014+4.838+5.168+5.172-0.127-0.123-0.125-3.03-0.126-3.802-0.126-1.97-0.125-0.25-1.972</f>
        <v>3.488999999999995</v>
      </c>
      <c r="F367" s="25">
        <v>144000</v>
      </c>
    </row>
    <row r="368" spans="1:6">
      <c r="A368"/>
      <c r="B368" s="30" t="s">
        <v>234</v>
      </c>
      <c r="C368" s="30" t="s">
        <v>408</v>
      </c>
      <c r="D368" s="30" t="s">
        <v>233</v>
      </c>
      <c r="E368" s="53">
        <f>5.19-5.19+4.016+0.948+0.306-3.897+10.39-0.354-0.59-0.306-0.004-0.366-0.984-0.618-0.372-1.582-0.362-0.495-0.737-4.896-0.119+0.022</f>
        <v>3.9759862069388419E-15</v>
      </c>
      <c r="F368" s="25">
        <v>162000</v>
      </c>
    </row>
    <row r="369" spans="1:6">
      <c r="A369"/>
      <c r="B369" s="30">
        <v>20</v>
      </c>
      <c r="C369" s="30" t="s">
        <v>409</v>
      </c>
      <c r="D369" s="30" t="s">
        <v>233</v>
      </c>
      <c r="E369" s="53">
        <f>4.595-0.415+0.157-0.145-0.15-0.157-0.14-1.575-0.14-1.42+5.168-0.14-0.15-5.488+2.82+1.28-0.17-0.165-0.165-0.79-0.01-2.8+1.34+1.64+8.254-1.64-1.01-0.18+2.57+4.77-1.155+0.31-0.255-2.95-0.145-0.99+4.8-1.565+10.264-2.07+0.43+0.41-0.152-0.18+0.03+0.52-0.355-0.685-1.552-0.16-0.156-1.015-0.429-0.41-0.03-0.342-1.54-0.155-0.15-3.78-0.614-7.208-1.068+3.518+2.728+3.894-1.06-0.768-0.146-0.178+0.026+3.372+0.706+3.371+3.366+3.364+3.368+0.179+0.154+3.369-0.31-0.464-0.154-2.54-0.305-0.91-0.829-0.303-1.53-1.065-2.428-0.155-0.425+0.024-0.179-0.499-0.386+0.13-0.706-2.384-0.32-0.114-0.096-0.18-1.595-0.13-0.354-0.435-3.364-0.097</f>
        <v>10.556999999999993</v>
      </c>
      <c r="F369" s="25">
        <v>137500</v>
      </c>
    </row>
    <row r="370" spans="1:6">
      <c r="A370"/>
      <c r="B370" s="30" t="s">
        <v>234</v>
      </c>
      <c r="C370" s="30" t="s">
        <v>409</v>
      </c>
      <c r="D370" s="30" t="s">
        <v>233</v>
      </c>
      <c r="E370" s="53">
        <f>12.443-0.125-0.525-0.26-1.325-0.152-6.36-2.005-0.4-1.315+0.177-0.005-0.13-0.018+2.42+2.53+3.4-2.42-2.53+4.594-7.994+4.67-0.145-0.985+7.068+3.184-0.468-0.454-0.315-0.162-0.965-1.09-0.908-0.154-1.8-3.542-1.536-0.826+0.051-0.157-0.302-0.312+0.04+7.916+6.544+0.656-0.33+2.107+2.111+2.11+0.354-0.305-0.71-2.128-2.127-2.077-2.107-2.111-2.11-0.354-0.156-0.837-0.864-0.171-0.874-0.694-2.07-2.079-0.454+0.023+2.123+2.126+0.352+2.118+2.122+2.121+2.129+2.12+2.119+2.121-1.075-2.118-2.121-0.535-0.185-1.97-0.156-0.167-0.163-0.527-1.255+0.004-0.18+18.422+2.121-1.046-2.12-2.119-0.355-3.534-3.329-0.182-0.875-3.338-1.405-0.165+0.01-0.71-0.35-0.175</f>
        <v>10.007999999999997</v>
      </c>
      <c r="F370" s="25">
        <v>142500</v>
      </c>
    </row>
    <row r="371" spans="1:6">
      <c r="A371"/>
      <c r="B371" s="28" t="s">
        <v>893</v>
      </c>
      <c r="C371" s="30" t="s">
        <v>409</v>
      </c>
      <c r="D371" s="30" t="s">
        <v>233</v>
      </c>
      <c r="E371" s="55">
        <f>0.15</f>
        <v>0.15</v>
      </c>
      <c r="F371" s="25">
        <v>135000</v>
      </c>
    </row>
    <row r="372" spans="1:6">
      <c r="A372"/>
      <c r="B372" s="30">
        <v>20</v>
      </c>
      <c r="C372" s="30" t="s">
        <v>410</v>
      </c>
      <c r="D372" s="30" t="s">
        <v>233</v>
      </c>
      <c r="E372" s="53">
        <f>6.069-0.47-0.16+0.001-0.108-1.686-0.709-0.945+0.32+0.96+0.049-0.96-0.83-0.32-0.625+0.56-0.16-0.56+2.58-0.875-1.205+1.34+0.64-0.975-0.365-0.64+1.78+2.534+2.546-0.74-0.078-0.087-1.78+0.306-1.085-1.095-0.365+2.685+2.635-0.175-1.439-0.371+0.015-0.306-1.086-0.63-0.634-0.953-0.175-1.682-0.378+0.043+2.516+2.527+2.508+2.505+2.506+2.514+2.51+2.511-0.21+1.545+1.105+2.505-0.625-2.527-0.398-2.11-0.205-0.215-1.545-0.42-0.96-0.841-0.16-0.17-1.1-2.51-2.1-0.205-1.105-0.206-2.205-1.885-0.04-1.195-0.019-0.42+4.315+4.875+0.97-0.29-0.206-0.145-0.614-1.46-0.97-0.621-0.65-0.98-0.16-1.065+2.605+2.595-3.1-2.005-0.99-1.84-0.785-0.6-0.755+5.089+20.015-0.205-0.208-1.05</f>
        <v>24.052</v>
      </c>
      <c r="F372" s="25">
        <v>137500</v>
      </c>
    </row>
    <row r="373" spans="1:6">
      <c r="A373"/>
      <c r="B373" s="30">
        <v>20</v>
      </c>
      <c r="C373" s="30" t="s">
        <v>411</v>
      </c>
      <c r="D373" s="30" t="s">
        <v>233</v>
      </c>
      <c r="E373" s="53">
        <v>2.1337098754514727E-16</v>
      </c>
      <c r="F373" s="25">
        <v>137500</v>
      </c>
    </row>
    <row r="374" spans="1:6">
      <c r="A374"/>
      <c r="B374" s="30">
        <v>20</v>
      </c>
      <c r="C374" s="30" t="s">
        <v>412</v>
      </c>
      <c r="D374" s="30" t="s">
        <v>233</v>
      </c>
      <c r="E374" s="53">
        <f>3.162-0.718-0.03-0.154+4.905-0.141+0.001-2.455-0.223-0.618-0.141+2.448-1.555-0.84+5.102-5.102-0.225-1.99-0.62-0.233+0.468+4.67-0.075-0.935-1.405+4.194-2.11-0.42-2.505+5.672-0.42-0.425-0.622-1.044-1.472-0.468-0.24+0.02-0.21-0.22-0.83+0.006-0.212-0.215-1.255-0.022+1.785-0.55+10.08+3.7-2.038-0.55-0.53-0.175+0.02-2.056-4.128-1.48-0.915-0.92+21.17-5.152-2.064+0.003-3.545-4.89-0.08-0.275-2.18-3.885+21.231-0.26-0.54-0.27-2.759-1.924-1.073-0.56-0.275-0.28-0.28-0.275-0.272-0.275-2.164-0.27-1.665-0.816-0.81-0.27-0.218-0.052-0.006-1.878-0.27-0.973-1.347-0.27+11.397</f>
        <v>14.419000000000006</v>
      </c>
      <c r="F374" s="25">
        <v>137500</v>
      </c>
    </row>
    <row r="375" spans="1:6">
      <c r="A375"/>
      <c r="B375" s="30" t="s">
        <v>234</v>
      </c>
      <c r="C375" s="30" t="s">
        <v>412</v>
      </c>
      <c r="D375" s="30" t="s">
        <v>233</v>
      </c>
      <c r="E375" s="53">
        <f>2.55+2.53-2.03-0.52-2.53+3.762+1.502-0.216-2.207-0.215-0.221-1.071-1.104-0.23+5.858</f>
        <v>5.8579999999999997</v>
      </c>
      <c r="F375" s="25">
        <v>152500</v>
      </c>
    </row>
    <row r="376" spans="1:6">
      <c r="A376"/>
      <c r="B376" s="30">
        <v>20</v>
      </c>
      <c r="C376" s="30" t="s">
        <v>413</v>
      </c>
      <c r="D376" s="30" t="s">
        <v>233</v>
      </c>
      <c r="E376" s="53">
        <f>4.19-0.256+4.025+4.125-4.125-0.275-0.815-1.61-0.266+1.052-1.05-0.265-1.04-0.81+4.704+0.532-1.052-1.32+0.007-0.55+0.035-0.27-0.26-1.85+4.69-0.27-0.265-0.56-0.546-0.228-0.23-0.455-0.224-0.535-0.45+2.872-0.53-0.518-0.268+5.302+2.15-0.265-0.248-1.606+0.033-0.724-0.026-2.042-2.578+0.045-1.196-0.966+0.011-0.25-0.255+20.034-0.75-1.205-0.61-1.826-0.252-0.506-1.82-3.655+0.001-3.638-7.28+14.415+3.597+3.599-3.597-0.302-3.31-5.716-0.287-0.028-3.599+0.028-2.405-2.41-0.998+0.015+19.718-4.175-0.906-14.637+17.863-1.786-0.302-0.298-4.176-4.177-0.296-0.585-3.561-0.892-0.9-0.895+0.005+20.075-1.52-3.648-0.612-12.476+21.385-0.3-0.89-3.569-1.79-0.581-3.271-3.56-0.596-0.295-0.896-2.966-2.671-1.819+18.788+1.83</f>
        <v>20.836999999999996</v>
      </c>
      <c r="F376" s="25">
        <v>137500</v>
      </c>
    </row>
    <row r="377" spans="1:6">
      <c r="A377"/>
      <c r="B377" s="30" t="s">
        <v>234</v>
      </c>
      <c r="C377" s="30" t="s">
        <v>413</v>
      </c>
      <c r="D377" s="30" t="s">
        <v>233</v>
      </c>
      <c r="E377" s="53">
        <f>2.77+2.55-0.22-0.43-0.22-1.485-0.22-0.195-2.55+2.37+2.365-0.442-1.515-1.49</f>
        <v>1.2880000000000014</v>
      </c>
      <c r="F377" s="25">
        <v>152500</v>
      </c>
    </row>
    <row r="378" spans="1:6">
      <c r="A378"/>
      <c r="B378" s="30">
        <v>20</v>
      </c>
      <c r="C378" s="30" t="s">
        <v>414</v>
      </c>
      <c r="D378" s="30" t="s">
        <v>233</v>
      </c>
      <c r="E378" s="53">
        <f>8.528-0.023-0.625-0.206-0.004-0.216-1.065+0.001-0.21-0.425-0.432-0.86-0.217-0.647-0.22-0.65-0.22-0.22+0.798-0.436-0.645-0.86-0.215-0.535+1.95-0.565-0.263-0.565-0.432+0.299-0.28-0.275+4.34-0.285+0.02-0.26-0.258+4.33-0.514+1.542-1.278-0.26-0.51-0.52-0.26+4.795-0.9-0.61-0.255+1.288-0.31+3.41-0.256-0.494-0.27-3.41-2.975-1.28-3.82-0.805-0.247+4.155+2.045+2.047+2.044+4.086+4.088+4.09-1.36-0.345-0.268+0.055-1.715-3.755-0.666-0.34-0.335-2.044-1.025-0.34-0.34-0.34+20.371-0.34-0.68-0.687-0.34-4.155-1.025-1.025-0.34-1.358-2.075-1.724-1.035-0.345-0.351-4.143-0.345-0.345-3.104-0.69-2.421-2.43+3.892+3.884+3.878+3.87-1.02-1.55-0.004-0.339-0.4-1.17+20.646-1.544-0.39-2.34-3.878-3.87-0.382-1.035-0.69-0.345-0.345-0.69-0.34-0.345-0.345-3.433-3.442-0.349-1.375-0.345-0.687-0.342-3.099-0.688-0.345-2.065+0.504+1.72-0.341-0.248-0.695-0.685+10.346</f>
        <v>10.942000000000004</v>
      </c>
      <c r="F378" s="25">
        <v>137500</v>
      </c>
    </row>
    <row r="379" spans="1:6">
      <c r="A379"/>
      <c r="B379" s="30" t="s">
        <v>234</v>
      </c>
      <c r="C379" s="30" t="s">
        <v>414</v>
      </c>
      <c r="D379" s="30" t="s">
        <v>233</v>
      </c>
      <c r="E379" s="53">
        <f>2.998+0.238+1.458-0.238</f>
        <v>4.4559999999999995</v>
      </c>
      <c r="F379" s="25">
        <v>152500</v>
      </c>
    </row>
    <row r="380" spans="1:6">
      <c r="A380"/>
      <c r="B380" s="30">
        <v>20</v>
      </c>
      <c r="C380" s="30" t="s">
        <v>415</v>
      </c>
      <c r="D380" s="30" t="s">
        <v>233</v>
      </c>
      <c r="E380" s="53">
        <f>4.35+4.085+4.1-0.34-4.085-0.67-2.01-0.335-0.66-0.335-0.348-2.06+4.634-1.028-0.685+0.021-0.785-0.51-1.285+5.34-2.495-0.715+5.41-1.025-0.36-0.335-3.06-0.775+0.455-0.345-0.35-0.71-0.785-0.365-0.34+0.045-0.455-0.229-0.036-0.265-0.36+2.76+2.367-1.84+20.701-5.972-0.795-1.195-3.186-0.405-5.571-1.85-3.195-0.4+0.018-0.92-0.45-0.067+4.645+4.641+4.645+4.646+1.814+20.915-0.465-0.93-2.321-0.47-1.92-0.455-0.92-0.91+1.61-0.455-0.465-1.839-2.33-0.46-0.409-0.015-1.436-0.465-1.85-0.02-0.36+0.061-0.47-0.445-0.001-0.465-0.465-1.86-1.855-0.965-0.48-1.435-0.955-0.95-1.425-0.96-1.415-0.485-1.415-1.9-0.465-0.955+21.229-1.42-0.943-0.943-0.005-1.42-0.469-0.006-0.47-0.945-0.475-0.475-2.835-1.886-0.475-0.475-1.89-0.95</f>
        <v>10.562000000000001</v>
      </c>
      <c r="F380" s="25">
        <v>146000</v>
      </c>
    </row>
    <row r="381" spans="1:6">
      <c r="A381"/>
      <c r="B381" s="30" t="s">
        <v>234</v>
      </c>
      <c r="C381" s="30" t="s">
        <v>415</v>
      </c>
      <c r="D381" s="30" t="s">
        <v>233</v>
      </c>
      <c r="E381" s="53">
        <f>1.13+1.02+2.77-1.02-0.555-0.28-0.28-1.395-0.29-0.84-0.29+0.03+5.086-0.265-0.255-0.255-3.08-0.26-1+0.029+4.663+0.935-0.315-0.31-0.315-0.31-0.635-2.778-0.935+5.215-1.045-2.1-1.045-0.35-0.34+6.445+1.005-1.43-0.35-0.365</f>
        <v>5.6400000000000015</v>
      </c>
      <c r="F381" s="25">
        <v>161000</v>
      </c>
    </row>
    <row r="382" spans="1:6">
      <c r="A382"/>
      <c r="B382" s="30">
        <v>20</v>
      </c>
      <c r="C382" s="30" t="s">
        <v>416</v>
      </c>
      <c r="D382" s="30" t="s">
        <v>233</v>
      </c>
      <c r="E382" s="53">
        <f>5.263-0.75-0.375-0.376-0.385-0.38-0.34+2.66+3.04-0.38-0.73-0.045-0.39-0.385-2.66-1.92-1.14-0.345-0.015-0.038-0.342+0.033+3-1.505+2.99-2.99-0.38-0.385+5.295+4.565-4.565-5.295-0.745+0.015+5.163+20.725-0.535-0.534-0.536-1.065-1.065-0.53-0.535-1.068-2.127-1.075-0.798-2.125-0.53-1.6-0.534-0.534-0.535-0.53-2.125-0.805-0.395-0.395-2.749-1.067-0.021-0.528-0.004+0.004-0.536-0.535+3.705+2.121+3.698+3.709+3.711+3.716+3.707+3.705+3.713+3.703+3.709+2.114-1.584-3.703-3.709-0.53-0.525-0.53-0.53-2.12-1.06-0.53-1.06-0.525-0.005-1.057-2.125-0.535+0.059-0.53-16.994+13.071+3.665+3.658-0.531-0.525-1.05-2.125-10.457-9.422+20.291-16.131+19.849-11.689-8.755-0.47-0.05-0.51+9.054+11.683-1.065-2.662-1.948-6.392-11.733+0.05</f>
        <v>-7.0776717819853729E-16</v>
      </c>
      <c r="F382" s="25">
        <v>147500</v>
      </c>
    </row>
    <row r="383" spans="1:6">
      <c r="A383"/>
      <c r="B383" s="30">
        <v>20</v>
      </c>
      <c r="C383" s="30" t="s">
        <v>417</v>
      </c>
      <c r="D383" s="30" t="s">
        <v>233</v>
      </c>
      <c r="E383" s="53">
        <f>5.7-0.755+3.915-0.38-0.76-0.39+0.005-1.14-0.38-1.73-0.44-0.76-1.32+3.01+3.39-0.76-3.01-3.39-0.425-0.38+2.88+2.47-0.825-0.83-2.88-0.82+0.005+3.855+1.245-0.84-0.425+4.73-0.875-0.435-0.4-0.87-0.4-0.855+4.655-1.27+5.145-0.41-0.015-0.432+0.057-0.405-0.805-2.765+0.045-0.86-0.42-0.425-0.835-1.27-0.43-3.01-1.25-0.03+12.293-1.755-2.935-0.59+5.285-1.165-2.344-1.6+3.533+1.171+1.763+2.338-3.533-2.338+12.283-2.35-1.171-2.335-0.595-1.168-1.185+0.031-1.575-0.59-5.85-0.6-1.19-3.828+20.362-1.106-0.585-1.175-1.755-0.585-1.185-9.94-1.75-2.35+0.069+21.037-0.585-4.09-4.09-0.582-3.506-4.095-4.089+21.055-9.945-0.586-10.524+4.643+4.065+4.062+4.058+4.058-1.75-1.16-3.49-4.643-0.575-0.005-0.585-4.058-1.75-1.16-0.562-0.018+20.9-2.33-3.49+20.722-2.3+0.535-4.067-1.15-17.272-0.585-1.157-1.745-8.129</f>
        <v>1.0619999999999958</v>
      </c>
      <c r="F383" s="25">
        <v>147500</v>
      </c>
    </row>
    <row r="384" spans="1:6">
      <c r="A384"/>
      <c r="B384" s="30" t="s">
        <v>234</v>
      </c>
      <c r="C384" s="30" t="s">
        <v>417</v>
      </c>
      <c r="D384" s="30" t="s">
        <v>233</v>
      </c>
      <c r="E384" s="53">
        <f>0.645-0.635-0.01</f>
        <v>0</v>
      </c>
      <c r="F384" s="25">
        <v>152500</v>
      </c>
    </row>
    <row r="385" spans="1:6">
      <c r="A385"/>
      <c r="B385" s="30">
        <v>20</v>
      </c>
      <c r="C385" s="30" t="s">
        <v>418</v>
      </c>
      <c r="D385" s="30" t="s">
        <v>233</v>
      </c>
      <c r="E385" s="53">
        <f>4.9-0.92-0.315-0.625+4.375+2.88+2.415-0.305-4.375-2.88-2.415-0.62-2.2+0.085+3.06+3.06+8.335-2.805-1.92-9.73+8.092-1.885-0.805-0.44-1.86-2.78+0.013-0.335+4.903-1.07-3.805-0.028+18.116-3.24-5.162-9.063-0.651+21.076-5.12-1.28-2.56-0.64-7.658-1.275+19.99-0.585-0.642+39.785-1.265-1.27-1.889-0.165-3.14-3.565-0.66-2.896-2.892-1.12+0.044-0.631-1.262-1.259-0.839-0.36-0.069-4.426-2.528-4.422-0.612-0.362-0.853-0.045-0.63-0.63-0.63-0.614-0.004-0.001-4.42-3.16-1.262-0.635-0.635-4.42-0.635-2.511-1.265+4.393+16.354-1.26-0.63-0.63-1.89-0.63-4.4-4.409-0.003-1.887-1.89-1.895-3.138-0.63+0.02-0.628+21.193-0.59-1.767-0.587-1.769-0.586</f>
        <v>15.893999999999989</v>
      </c>
      <c r="F385" s="25">
        <v>147500</v>
      </c>
    </row>
    <row r="386" spans="1:6">
      <c r="A386"/>
      <c r="B386" s="30">
        <v>20</v>
      </c>
      <c r="C386" s="30" t="s">
        <v>419</v>
      </c>
      <c r="D386" s="30" t="s">
        <v>233</v>
      </c>
      <c r="E386" s="53">
        <f>2.81+2.33-2.81-2.33+3.22+3.71-3.22-3.71+2.79-0.475+2.88-1.915-0.48-0.48-0.95-0.475-0.46+4.61+4.13+0.46-0.46-0.46-1.375-0.47+1.04-0.525+4.175-0.47-0.46-0.465-0.525-0.465-3.67-3.65-0.525+0.01+4.89-0.46-0.52-0.535-0.47-0.445-0.005-0.005-0.415-0.05-1.37-0.525-1.045+0.02+8.597-1.585-0.535-1.07-0.52-3.745-1.547+5.122+5.61+2.32-0.52-0.46-0.476-0.465-0.465-0.46-0.475-0.94-0.465-0.5-0.47+3.438+4.612+4.594+3.432+4.614-2.39-0.49-0.454-0.011-0.57-0.575-0.58-0.575-0.525-0.58-1.16-0.574-0.575-1.145-0.57-0.575-1.05-0.399-0.068-0.013-1.237-0.58-1.045-1.708-0.58-2.32-0.57+6.08-6.08-7.218+0.091+10.458-1.17-0.59</f>
        <v>8.6980000000000004</v>
      </c>
      <c r="F386" s="25">
        <v>147500</v>
      </c>
    </row>
    <row r="387" spans="1:6">
      <c r="A387"/>
      <c r="B387" s="30" t="s">
        <v>234</v>
      </c>
      <c r="C387" s="30" t="s">
        <v>419</v>
      </c>
      <c r="D387" s="30" t="s">
        <v>233</v>
      </c>
      <c r="E387" s="53">
        <f>0.338-0.338+5.135+1.545+1-1-1.031-2.573+5.47-1.03-2.755</f>
        <v>4.7609999999999992</v>
      </c>
      <c r="F387" s="25">
        <v>161000</v>
      </c>
    </row>
    <row r="388" spans="1:6">
      <c r="A388"/>
      <c r="B388" s="30">
        <v>20</v>
      </c>
      <c r="C388" s="30" t="s">
        <v>420</v>
      </c>
      <c r="D388" s="30" t="s">
        <v>233</v>
      </c>
      <c r="E388" s="53">
        <f>7.037-0.52+0.008-4.494+0.004-1.025-1.03+0.02+2.91+2.92-0.485-0.487-2.43+0.005-0.5-0.495-0.495-0.485-0.49+0.032+8.32-0.535+3.05+3.05-1.025-0.5-1.04-1.04-2.05-3.15-1.05-0.465-2.615-0.52-0.5+0.07+0.5-0.51+0.01+5.352-1.605-0.53+5.445-1.37-1.36-2.03-1.595-1.622-0.685+10.085-1.565-0.78-1.55-0.775-2.325-1.545-0.775-0.77+15.086-3.425-3.445+5.125-1.705-2.295-1.125-1.375-1.38-2.035-2.06+10.265-1.38-2.755-0.695-0.055-2.045-0.69-0.685-1.97-0.12+0.009</f>
        <v>1.245000000000001</v>
      </c>
      <c r="F388" s="25">
        <v>147500</v>
      </c>
    </row>
    <row r="389" spans="1:6">
      <c r="A389"/>
      <c r="B389" s="30">
        <v>20</v>
      </c>
      <c r="C389" s="30" t="s">
        <v>989</v>
      </c>
      <c r="D389" s="30" t="s">
        <v>233</v>
      </c>
      <c r="E389" s="53">
        <f>0.67-0.67</f>
        <v>0</v>
      </c>
      <c r="F389" s="25">
        <v>147500</v>
      </c>
    </row>
    <row r="390" spans="1:6">
      <c r="A390"/>
      <c r="B390" s="30">
        <v>20</v>
      </c>
      <c r="C390" s="30" t="s">
        <v>421</v>
      </c>
      <c r="D390" s="30" t="s">
        <v>233</v>
      </c>
      <c r="E390" s="53">
        <f>3.977-0.315-0.36-2.24-0.452-0.008-0.33-0.272+2.52+2.53-2.165-1.085+4.56-0.364-1.081-0.004-0.575-2.28-1.16-0.009-0.351+0.009+5.45-2.195-0.54+4.62-4.62+2.57+2.585-1.1-0.575+0.03-0.55-1.037-1.095-2.57-1.55+0.03+0.007-0.005+0.255-0.33+0.075+6.959-2.76-0.68-0.685-0.685-0.695-0.69-0.67-0.094+6.067+4.74-0.535-3.152-4.97-0.795-0.784-0.009-0.562+2.158+2.152+2.168+1.618+3.78-0.545-1.62-0.535-0.54-1.085-1.067-0.533-0.003-0.017-0.54-0.535-1.085-0.54+0.54-1.082-1.065+5.375+5.38-1.24-1.205-0.59-1.205-0.59-2.385+10-0.54-1.2-1.195-1.69-1.67-0.01-0.84-0.595-0.6+0.05-1.68-0.84-0.845</f>
        <v>3.5090000000000012</v>
      </c>
      <c r="F390" s="25">
        <v>147500</v>
      </c>
    </row>
    <row r="391" spans="1:6">
      <c r="A391"/>
      <c r="B391" s="30">
        <v>20</v>
      </c>
      <c r="C391" s="30" t="s">
        <v>1098</v>
      </c>
      <c r="D391" s="30" t="s">
        <v>233</v>
      </c>
      <c r="E391" s="53">
        <f>5.15</f>
        <v>5.15</v>
      </c>
      <c r="F391" s="25">
        <v>156000</v>
      </c>
    </row>
    <row r="392" spans="1:6">
      <c r="A392"/>
      <c r="B392" s="30">
        <v>20</v>
      </c>
      <c r="C392" s="30" t="s">
        <v>422</v>
      </c>
      <c r="D392" s="30" t="s">
        <v>233</v>
      </c>
      <c r="E392" s="53">
        <f>4.455+5.09-1.125-0.56-1.148-3.3-3.412+5.036</f>
        <v>5.0359999999999996</v>
      </c>
      <c r="F392" s="25">
        <v>156000</v>
      </c>
    </row>
    <row r="393" spans="1:6">
      <c r="A393"/>
      <c r="B393" s="30">
        <v>20</v>
      </c>
      <c r="C393" s="30" t="s">
        <v>990</v>
      </c>
      <c r="D393" s="30" t="s">
        <v>233</v>
      </c>
      <c r="E393" s="53">
        <f>3.33+3.382-0.545-0.56-1.13-1.12+0.025-0.55-0.555</f>
        <v>2.2769999999999988</v>
      </c>
      <c r="F393" s="25">
        <v>156000</v>
      </c>
    </row>
    <row r="394" spans="1:6">
      <c r="A394"/>
      <c r="B394" s="30">
        <v>20</v>
      </c>
      <c r="C394" s="30" t="s">
        <v>423</v>
      </c>
      <c r="D394" s="30" t="s">
        <v>233</v>
      </c>
      <c r="E394" s="53">
        <f>1.27+1.28+1.311+0.645+1.285+1.271+3.811+1.287-0.135-1.02-1.285-0.885-0.002-1.016-0.255+0.005-0.135-0.135-0.132-0.665-0.13-0.135-1.18-0.265-0.515-0.26-0.385-0.091-0.198-0.106-0.265-0.515-0.13-0.13+2.088+3.16-0.392-0.51-1.37-0.38-0.13-1.11+0.126-0.2-1.67-0.664-0.634+0.122+3.438+3.438+3.436+2.56-0.37-0.132-2.56-3.436-0.499-3.068-1.115-1.824-0.128+2.456-0.122-0.13-0.1-0.004-0.031+0.02-0.118-0.982-0.74-0.124-0.126-0.372+0.128+3.83-0.135-0.134-1.035-0.252-0.12+18.436+1.094+2.188-0.374-0.495-0.13-0.128-0.232-5.129-0.127-2.188-0.74-0.778-1.4+0.024-0.12-0.492-1.59-1.35-0.74-0.37-1.84-0.13-0.372-1.232-0.988+1.83+1.83+2.39+3.995-0.874-0.155-0.31-0.46-0.92-1.83+0.015-0.966-0.017-0.225-0.36-0.488-0.593-0.126+0.105-2.365-0.155-0.888-0.6+5.068-0.155-0.155-0.153-1.228-0.156-0.455-0.31-0.155+5.192-0.465-1.24-0.13-0.155+5.07-0.155-0.98-0.33-0.16-1.801-0.166-0.135-0.135-0.132-0.33-0.266-0.166+0.12-1.725-0.132-1.732-0.325-0.151-0.667-0.491-0.152-0.755-0.12-0.46-0.14+0.002+8.611-2.849-4.16</f>
        <v>2.6010000000000026</v>
      </c>
      <c r="F394" s="25">
        <v>156000</v>
      </c>
    </row>
    <row r="395" spans="1:6">
      <c r="A395"/>
      <c r="B395" s="30" t="s">
        <v>234</v>
      </c>
      <c r="C395" s="30" t="s">
        <v>423</v>
      </c>
      <c r="D395" s="30" t="s">
        <v>233</v>
      </c>
      <c r="E395" s="53">
        <f>7.985-0.27-1.42-0.65-0.39-0.53-0.655-2.12-0.53-0.132-0.265-0.625-0.398+9.518-0.49-1.24-0.5-0.375-0.375-0.86-2.839-2.839+0.51+3.388+3.67-0.255-0.13-3.22-0.51-0.385-0.45-2.618+1.826-0.726+2.935+1.626+1.286-0.366+2.398+0.104+0.12-0.972-0.486+1.29-0.12-0.126-1.29-0.577-2.569-1.626-0.578-0.606-0.099-0.002-0.131-0.104+10.364+4.46-2.216-0.134+1.396-0.658-1.57+0.642-0.526-0.13-0.366-0.244-0.22-0.122-0.124-0.256-0.395-0.642-4.236-0.262+0.038-1.176-0.351-4.59+0.111+5.202+5.242-0.988-1.118-0.126-0.494-5.242-0.622-0.128-0.126+4.878-1.627+0.027-0.64-0.13-2.69-0.516-0.895-0.007+0.216-0.25+0.034+1.998+2.996-0.126-0.501-2.369-0.121-0.251+4.968-0.505-0.87-4.968-0.25-0.001</f>
        <v>2.9984695282259111E-15</v>
      </c>
      <c r="F395" s="25">
        <v>161000</v>
      </c>
    </row>
    <row r="396" spans="1:6">
      <c r="A396"/>
      <c r="B396" s="28">
        <v>10</v>
      </c>
      <c r="C396" s="30" t="s">
        <v>424</v>
      </c>
      <c r="D396" s="30" t="s">
        <v>233</v>
      </c>
      <c r="E396" s="53">
        <f>1.344+3.22</f>
        <v>4.5640000000000001</v>
      </c>
      <c r="F396" s="25">
        <v>137500</v>
      </c>
    </row>
    <row r="397" spans="1:6">
      <c r="A397"/>
      <c r="B397" s="30">
        <v>20</v>
      </c>
      <c r="C397" s="30" t="s">
        <v>424</v>
      </c>
      <c r="D397" s="30" t="s">
        <v>233</v>
      </c>
      <c r="E397" s="53">
        <f>3.968-0.174-0.17-0.166-0.34+0.13+1.896-0.282-0.35+2.205+2.199+0.31+2.212+2.199+2.204+2.215+1.101+2.196+1.1+2.199-0.345+5.708-0.29-0.958+1.632-0.82-0.185-0.31-0.37-1.101-0.18-0.37-0.92-0.14-2.199-0.272-0.185-0.146-0.134-0.33-0.185-0.356-0.87-2.162-0.884-1.068-0.148-0.164-0.288+0.052+0.038-2.199-0.18-0.185-0.178+0.027+2.186+2.186+2.367+2.184+2.195-0.55-0.915+9.109-0.919-0.74-0.555-0.362-0.366-0.366-0.74-2.212-1.49-0.185-2.186-2.195-0.17-0.709-0.046-0.188-0.375-0.56-0.37-0.56+2.244+2.265+2.27+2.272+2.231+2.223+2.244+2.271+2.593-0.149-2.442-2.552+0.04-0.365+10.204-3.95-0.366+5.136-2.186-2.184-2.367-2.244-0.519-0.166-0.5-0.188-1.12-0.94-5.136-5.108-3.1-0.952-1.32-0.7-0.522+0.014+0.042-0.19-0.38-0.19-0.93-2.048-0.001-0.378-2.271-0.57-0.38-0.339-0.032+9.472+11.169-0.75-0.183-0.002-1.31-0.184-0.19-0.19-2.054-0.56-0.371-0.374-0.922-0.37-0.56-1.674-0.375-0.19-0.57-0.554-2.23-0.201-0.166-0.191-0.375-0.19-0.364-2.227-2.238-1.3-0.185</f>
        <v>6.3100000000000183</v>
      </c>
      <c r="F397" s="25">
        <v>137500</v>
      </c>
    </row>
    <row r="398" spans="1:6">
      <c r="A398"/>
      <c r="B398" s="30" t="s">
        <v>234</v>
      </c>
      <c r="C398" s="30" t="s">
        <v>424</v>
      </c>
      <c r="D398" s="30" t="s">
        <v>233</v>
      </c>
      <c r="E398" s="53">
        <f>28.52-1.094+0.342-9.129-1.636-0.342-0.185-0.185-0.185-1.602-1.647-0.802-1.275-0.55-0.18-0.645-1.643-0.49-0.33-0.48-0.325-0.17-1.277-0.18-0.804-0.185+20.363-0.646-0.976-0.177-0.16+0.076-0.941-0.608-1.665-1.134+0.096-3.27-0.978-0.53-1.65-4.712-0.58-0.385+11.718-1.524-0.57-1.1+5.057-1.276-1.652-0.652-2.114-1.29-0.943-0.185-0.74-0.166-0.003-3.477-1.829-0.94-0.38-2.291+19.159-0.687-2.09-0.175-0.523-2.088-1.4-0.871-0.35-0.175-1.397-2.087-1.57-1.564-0.693-0.002-0.525-0.35-1.39-0.35-1.045-0.514+2.182+0.159+2.184+5.241-2.184-2-0.909-0.001-0.545-0.73-2-0.182-0.159-0.159-0.176-0.004-0.185-0.18-0.352+4.666+8.582+4.249-2.165-0.185-4.249-0.18-0.356-1.047-0.733-0.332-0.18-0.36-0.18-1.975</f>
        <v>6.154999999999994</v>
      </c>
      <c r="F398" s="25">
        <v>151000</v>
      </c>
    </row>
    <row r="399" spans="1:6">
      <c r="A399"/>
      <c r="B399" s="28">
        <v>10</v>
      </c>
      <c r="C399" s="30" t="s">
        <v>1129</v>
      </c>
      <c r="D399" s="32" t="s">
        <v>930</v>
      </c>
      <c r="E399" s="53">
        <f>6.4</f>
        <v>6.4</v>
      </c>
      <c r="F399" s="102">
        <v>105000</v>
      </c>
    </row>
    <row r="400" spans="1:6">
      <c r="A400"/>
      <c r="B400" s="30">
        <v>20</v>
      </c>
      <c r="C400" s="30" t="s">
        <v>425</v>
      </c>
      <c r="D400" s="30" t="s">
        <v>233</v>
      </c>
      <c r="E400" s="53">
        <f>1.56-0.195+2.46+2.63+0.88-0.193-2.115-0.176+4.136-2.28-0.175+0.006-0.175+0.96-0.18+0.005-0.96-0.8+0.028-2.115+1.47+1.28+5.1-0.65-0.165-0.525-0.32-0.165+0.035-2.08-3.02-0.32+7.014+0.36+1.3-0.196-0.196+2.94+3.18+2.22+1.18-0.194+2.848+2.284+0.194-2.848-0.006-1.322-0.2-3.115-0.81+0.56+1.64-1.66-1.365+0.36-1.943-0.192-0.22+0.021-0.19-0.49-1.245-0.2+1.365-0.205-0.785-0.186-0.205+0.015-0.39+0.03+4.57+5.716-0.535-1.51-0.185-0.638-0.312+0.06-0.372-1.046-4.57-5.716-0.445-0.061-3.18+2.666+2.67+2.679+2.674+2.443+2.66+2.662+2.668-0.225-0.45-2.66-0.22-0.225-0.18-0.225-0.22-0.225-0.225-0.225-0.39-0.203-0.022-1.335-0.221-1.344-0.184+0.01-0.225-0.532+2.679+2.674+2.449+2.673+2.685+2.675+2.671+2.675-0.67-2.679-2.673-2.685-0.45-0.45-0.9-0.225+5.174-0.176-0.017-0.45-0.14-0.852-0.488-0.391-0.059-0.177-0.225-22.452+0.061+4.665+4.27+1.24-0.83-0.32-0.166-0.652+5.084-0.176+0.003-1.45-0.32-0.166+0.059-0.196-0.481-0.285-0.58-0.566-0.195-0.196-0.778</f>
        <v>14.881999999999977</v>
      </c>
      <c r="F400" s="25">
        <v>137500</v>
      </c>
    </row>
    <row r="401" spans="1:6">
      <c r="A401"/>
      <c r="B401" s="30" t="s">
        <v>234</v>
      </c>
      <c r="C401" s="30" t="s">
        <v>425</v>
      </c>
      <c r="D401" s="30" t="s">
        <v>233</v>
      </c>
      <c r="E401" s="53">
        <f>3.911-0.51-0.158+0.003-0.5-0.175+3.46-0.167-0.33-0.992-0.17-0.2-0.205-0.835-0.104-2.986-0.042+2.76+2.7+1.66+2.82+2.42+0.515-0.23-2.7-2.82-0.86+2.722-0.172-0.185-0.35-2.76-0.352-2.537+4.362-1.66-0.3-0.515-1.21+0.194+2.164-0.194-0.2-2.8-0.2+2.623+2.634+2.631+2.632+2.638+2.626+5.266-0.67-0.225-0.675-2.225-2.632-2.638-2.626-1.948-0.409-1.736-0.352-0.4-2.633-0.202+2.675+2.663+2.662+2.672+0.882+2.666+2.659+2.662-1.098-0.225-0.198-1.105-0.222-0.198-1.1-0.239-2.663-2.662-2.672-2.666-0.231-0.882-2.659-2.662+8.144+2.643+7.949-2.865+3.246-0.22-0.64-0.9-0.225-1.54-0.22-0.222-0.221-0.225-2.658-2.648-2.179-0.392-0.226</f>
        <v>8.6109999999999847</v>
      </c>
      <c r="F401" s="25">
        <v>151000</v>
      </c>
    </row>
    <row r="402" spans="1:6">
      <c r="A402"/>
      <c r="B402" s="30">
        <v>20</v>
      </c>
      <c r="C402" s="30" t="s">
        <v>426</v>
      </c>
      <c r="D402" s="30" t="s">
        <v>233</v>
      </c>
      <c r="E402" s="53">
        <f>4.735-2.56-0.395-0.395-0.21+4.51+0.75-0.205-2.53-0.195-0.39-0.165-0.02-0.81-0.97-0.595+3.63+1.625-0.186-0.2-0.365-0.184-0.9+0.01-2.944-0.2-0.695+0.009-0.2+0.045</f>
        <v>0</v>
      </c>
      <c r="F402" s="25">
        <v>137500</v>
      </c>
    </row>
    <row r="403" spans="1:6">
      <c r="A403"/>
      <c r="B403" s="30">
        <v>20</v>
      </c>
      <c r="C403" s="30" t="s">
        <v>427</v>
      </c>
      <c r="D403" s="30" t="s">
        <v>233</v>
      </c>
      <c r="E403" s="53">
        <f>31.835-0.28-0.28-3.266-3.276-1.92-0.28-1.365-0.55-0.28-1.076-2.166-1.678-0.001-0.265-1.09-0.275-0.075-0.817-0.248-0.222-0.058+0.009-0.28-1.65-0.275+3.243+3.245+3.256+3.249+3.254+1.623+3.243-7.15-2.709+0.8-0.275-0.265+21.542-0.815-0.78-0.808-0.259-0.011-0.161-0.119-0.002-0.808-3.243-0.52-0.54-1.575-0.265-0.242-0.028-0.819-1.817-1.817-1.817-0.27-0.54-0.265-2.168-1.63-0.814-2.981-0.54-0.26-0.27-0.473-0.052-0.275-1.305-0.27-0.265-1.085-0.54-0.053-0.247-0.23-0.26-0.821</f>
        <v>11.166999999999994</v>
      </c>
      <c r="F403" s="25">
        <v>137500</v>
      </c>
    </row>
    <row r="404" spans="1:6">
      <c r="A404"/>
      <c r="B404" s="30" t="s">
        <v>234</v>
      </c>
      <c r="C404" s="30" t="s">
        <v>427</v>
      </c>
      <c r="D404" s="30" t="s">
        <v>233</v>
      </c>
      <c r="E404" s="53">
        <f>11.775-2.995-0.895-4.454-0.24-0.715-1.09-1.456+0.07+4.74+5.01-5.01-0.23-0.24+3.528+0.68-0.235+0.8-2.994-0.916-0.8+4.82+2.626+2.438-4.412+3.11-0.485-0.245-0.972-2.626-1.953-0.27-0.235-0.236-0.45-1.875-0.23+4.755+9.716-0.78+3.241+3.256+3.242+3.247+1.624+3.242+3.247-0.28-0.55-0.545-0.275-3.241-3.256-2.967-3.247-3.242-3.247-1.542-0.37+21.261-0.54-0.249-0.051-0.19-6.854-0.237+0.113-1.11-14.157-0.18+20.511+0.237-3.193-3.201-3.188-3.189-3.207-1.332-3.201-0.237-0.555-3.826-0.16-0.075-0.185+16.995+0.23+3.03-0.276+20.793-1.047-0.275-0.55-0.225-0.28-0.55-0.271-0.272-4.037-0.265-0.295-0.23-0.275</f>
        <v>40.571000000000019</v>
      </c>
      <c r="F404" s="25">
        <v>142500</v>
      </c>
    </row>
    <row r="405" spans="1:6">
      <c r="A405"/>
      <c r="B405" s="30">
        <v>20</v>
      </c>
      <c r="C405" s="30" t="s">
        <v>428</v>
      </c>
      <c r="D405" s="30" t="s">
        <v>233</v>
      </c>
      <c r="E405" s="53">
        <f>17.087-2.5-3.724-3.076-3.081-1.844-0.731+3.688-0.31-0.315-0.315-2.47+3.675+3.663+3.66+3.662+3.685+3.675-0.625-0.29-0.03-1.24+0.052-0.605-0.305-0.305-0.305-0.305+0.029-0.305+3.94-1.23-0.31-2.435-0.31-0.31-0.305-0.305-3.66-0.305-0.915-0.92-0.61-0.305-0.305-0.608-2.455-0.605-0.3-0.302+0.75-0.92-0.31-1.23-0.285-0.31+12.042+7.438-0.315-1.24-0.31-0.9-0.015-1.535-1.544-1.53-0.31+0.03-0.025-0.29-1.855+19.332-0.305-0.93-1.508-0.305-3.013-7.438-3.06-14.512+0.006-0.31-2.17-0.13-0.13+11.211+4.563+0.305-11.211+5.407+20.488-0.313-0.93-0.305-0.312-0.306-0.612-25.27+17.958-0.31-0.36-0.358-3.596-3.597-0.324+23.441-14.603-0.305+0.287-0.36+15.215+4.868-3.055-0.303-1.825-0.725+0.002-0.306-2.74-0.725-14.962+0.065+14.962-0.36-0.339-0.016-20.284-0.305-0.287-4.556-4.874+8.504+3.193+7.796-8.504-3.193-7.796</f>
        <v>0.5410000000000208</v>
      </c>
      <c r="F405" s="25">
        <v>137500</v>
      </c>
    </row>
    <row r="406" spans="1:6">
      <c r="A406"/>
      <c r="B406" s="30" t="s">
        <v>234</v>
      </c>
      <c r="C406" s="30" t="s">
        <v>428</v>
      </c>
      <c r="D406" s="30" t="s">
        <v>233</v>
      </c>
      <c r="E406" s="53">
        <f>15.267-0.26-0.28-0.265-0.265-0.53-0.53-0.052-2.335-0.28-0.415+0.007-0.26-0.52-1.05-0.262-0.262-4.434-0.268+0.01-0.265-2.016-0.76+0.025+4.76-0.345-4.465+0.05+0.251-0.251+4.835+0.64+3.627+3.607+3.611+3.63-0.615+0.3+3.612+1.502-0.214+10.688-2.094-0.305-0.002-0.305-0.3-0.305-2.13-0.61-3.611-0.275-0.03-0.305-0.266-0.305-0.91-0.88-0.605-0.225-0.216-0.264-0.305-0.305-0.305-0.305-0.266-0.79-0.305-0.266-0.53-0.61-0.3-0.305-1.545-0.31-0.262-0.3-0.305-0.6-0.266</f>
        <v>13.100000000000005</v>
      </c>
      <c r="F406" s="25">
        <v>142500</v>
      </c>
    </row>
    <row r="407" spans="1:6">
      <c r="A407"/>
      <c r="B407" s="30">
        <v>20</v>
      </c>
      <c r="C407" s="30" t="s">
        <v>429</v>
      </c>
      <c r="D407" s="30" t="s">
        <v>233</v>
      </c>
      <c r="E407" s="53">
        <f>4.516-0.286-1.13+0.798-2.27+0.401+2.925-2.45+0.025-0.855-0.798-0.49+0.015+1.89+3.05-0.282+5.235+5.265-0.27-0.401-0.284-0.26-0.28-0.56-0.54-0.836-4.975-5.265-1.08-0.214-0.606+0.012+3.64+3.618-1.3-0.265-1.82-0.265+0.032-0.53-0.265-0.525-0.53+3.472+3.49+3.478-0.272-0.272-0.265-0.268-1.34-0.27-1.05-0.024-0.265-0.265-0.535-0.27-0.26-0.268-0.515+4.313+4.314+4.315+4.307+3.445-0.865-0.86-1.72-0.43-0.26+0.04-0.43-0.538-0.54-0.27-0.43-1.31-0.43-2.158-0.88-0.43-0.536-0.43-0.536-0.435-0.435-3.411-0.403-2.584-0.904-4.307-0.509-0.563+4.277+4.265+4.274+7.67-0.43-0.265+0.044-2.135-0.43-0.855-1.704-0.855-0.855-0.855-0.413-0.007-0.429-0.001-0.855-0.43</f>
        <v>10.232000000000005</v>
      </c>
      <c r="F407" s="25">
        <v>137500</v>
      </c>
    </row>
    <row r="408" spans="1:6">
      <c r="A408"/>
      <c r="B408" s="30" t="s">
        <v>234</v>
      </c>
      <c r="C408" s="30" t="s">
        <v>429</v>
      </c>
      <c r="D408" s="30" t="s">
        <v>233</v>
      </c>
      <c r="E408" s="53">
        <f>0.84+3.58+0.54-1.38+2.8+2.53-0.56-0.285-0.288-0.285-0.284-0.28-0.36-0.488-0.282-0.275-0.285-0.558-0.56-0.261-0.307+0.028-0.28-0.275-0.54-0.022-0.276-0.83+1.69+2.886-0.265-0.285-0.274-0.004-0.26-0.005-1.315-0.276+0.009-0.528+0.99+4.125-0.99-0.253-0.025+0.016-0.266-0.534+0.022-0.256-0.25-0.25-0.248-0.524-0.252-0.262-0.262-0.254-0.18-0.282-0.258+3.59+0.74+1+2.64+2.39-0.262-0.263+0.27-0.526-0.26-0.262-0.262-0.26-0.264-2.64-2.39-0.27+4.174+3.599+4.188+4.189+4.187+3.347-3.599-0.43-0.28-1.265-0.498-0.42-0.5-0.43-0.418-0.384-0.041-0.43-0.2-0.05+0.022-4.188-0.842-1.66-0.42-0.42-0.845-0.417-0.003-1.28-0.425-0.485-0.24-1.8-4.174-1.251+4.928+1.84-0.42+0.078-0.246-0.527-0.267-0.267-0.788-0.268-0.263</f>
        <v>5.6189999999999927</v>
      </c>
      <c r="F408" s="25">
        <v>142500</v>
      </c>
    </row>
    <row r="409" spans="1:6">
      <c r="A409"/>
      <c r="B409" s="30">
        <v>20</v>
      </c>
      <c r="C409" s="30" t="s">
        <v>430</v>
      </c>
      <c r="D409" s="30" t="s">
        <v>233</v>
      </c>
      <c r="E409" s="53">
        <f>2.6-0.98-0.32-0.335-0.965+4.5-0.96-0.32-0.32-1.93-0.325+4.93-3.96-0.655+0.01-0.995+0.025</f>
        <v>2.0122792321330962E-16</v>
      </c>
      <c r="F409" s="25">
        <v>137500</v>
      </c>
    </row>
    <row r="410" spans="1:6">
      <c r="A410"/>
      <c r="B410" s="30" t="s">
        <v>234</v>
      </c>
      <c r="C410" s="30" t="s">
        <v>430</v>
      </c>
      <c r="D410" s="30" t="s">
        <v>233</v>
      </c>
      <c r="E410" s="53">
        <f>0.714-0.48+2.855-2.855-0.253+0.019+0.252-0.258+0.006+4.4-1.542-0.92-0.226-0.464-0.852+1.542-0.406-1.542+0.01</f>
        <v>4.3541559247017858E-16</v>
      </c>
      <c r="F410" s="25">
        <v>142500</v>
      </c>
    </row>
    <row r="411" spans="1:6">
      <c r="A411"/>
      <c r="B411" s="30">
        <v>20</v>
      </c>
      <c r="C411" s="30" t="s">
        <v>789</v>
      </c>
      <c r="D411" s="30" t="s">
        <v>233</v>
      </c>
      <c r="E411" s="53">
        <f>2.807-0.98-1.476-0.432+0.012+0.029+0.04+4.817+4.832+4.819+4.829-0.485-4.819-0.485-3.847-3.382-0.97+5.926+12.642+1.975-6.014-3.951-0.792-0.79-1.58-0.79-0.01-1.975-0.4-0.4-0.395-0.484+0.004-0.395-0.395+19.504-1.175-0.495-0.385-0.01-4.888-0.98-6.821-0.49-0.49-0.486-0.975-0.495-1.58-2.45-0.395-1.185-0.487+19.522+0.487-18.555-0.492-1.185-0.8-0.492+0.017+0.02-0.487-0.493+0.046-0.4-0.39+3.477+3.476+3.468+1.981+3.469+3.474+0.24-1-0.24-3.469-1.49-0.5-0.484-0.016-1-2.98-3.477-3.468-0.496-0.004+19.998-0.97-0.485-3.387-3.384-0.965+20.498-0.965+0.264-0.99+0.029-0.49+0.49-0.49-0.49-0.49-0.49-1.465-0.485-1.475-0.49-1.477-0.49-1.46-0.05-0.435-0.975-3.906-4.42-0.485-0.5+0.01-0.485-0.441-0.04-2.442-0.023</f>
        <v>7.1100000000000136</v>
      </c>
      <c r="F411" s="25">
        <v>147000</v>
      </c>
    </row>
    <row r="412" spans="1:6">
      <c r="A412"/>
      <c r="B412" s="30" t="s">
        <v>234</v>
      </c>
      <c r="C412" s="30" t="s">
        <v>789</v>
      </c>
      <c r="D412" s="30" t="s">
        <v>233</v>
      </c>
      <c r="E412" s="53">
        <f>4.425+3.685+1.07-0.37-0.37-0.375-0.745-2.23-0.38-1.07-0.745-2.56-0.4+0.065+2.81+0.33-0.33-0.715-2.095+1.95-1.95+2.1+0.35+0.34+2.81-0.355-1.065-1.035+5.455-2.11-0.34-0.365-0.345-0.35-0.355-1.1-0.37-0.37+3.098+1.544-0.252-0.251-0.51-0.26-0.366-0.486-0.24-1.1-0.37</f>
        <v>3.7020000000000026</v>
      </c>
      <c r="F412" s="25">
        <v>164000</v>
      </c>
    </row>
    <row r="413" spans="1:6">
      <c r="A413"/>
      <c r="B413" s="30">
        <v>20</v>
      </c>
      <c r="C413" s="30" t="s">
        <v>431</v>
      </c>
      <c r="D413" s="30" t="s">
        <v>233</v>
      </c>
      <c r="E413" s="53">
        <f>5.378-0.765-1.67-2.091+0.07-0.419+0.017+0.15-0.15+3.93+4.33-1.98-0.79-0.395-0.79-0.4-0.4-0.415-0.4-0.33-0.075-1.135-0.015-0.79-0.79+0.04+4.83-0.405-4.45+0.025+1.272+3.746-1.085-1.025-0.247-0.018-1.065-0.54-0.55-0.27-0.27+0.052+0.224+4.848+4.742-1.02-0.782-0.5-1.04-0.265-0.52-0.265-0.224-0.262-1.504+0.025-1.465-1.265-0.525-0.265+0.063+3.858+3.853+3.31+3.861+3.86+1.1-0.555-0.545-1.66-0.55-1.1-0.551-2.76-0.55-0.55-0.55-0.55-0.55-0.55-0.554-1.65-0.554-0.56-3.853-1.65+21.494-0.55-0.555-1.11-1.11-0.537-0.018-2.23-3.849-0.555-0.555-1.1-1.11-1.653-0.509-0.048+19.759-2.212-1.65-0.55-1.1-0.555+0.78-15.916-0.552-0.548-0.554-0.555-1.09-0.55+0.062+0.006+19.727-2.19-0.555-3.832-1.642-2.205-8.815-0.545+0.057-0.555+12.155+3.869+3.87-0.56-0.56-1.66-2.21-1.09-0.02+16.851+1.635-0.555-1.11-0.514-0.545-1.09-1.095-0.545-0.553-0.55-0.543-0.007-1.629-3.792</f>
        <v>20.091999999999999</v>
      </c>
      <c r="F413" s="25">
        <v>147500</v>
      </c>
    </row>
    <row r="414" spans="1:6">
      <c r="A414"/>
      <c r="B414" s="30">
        <v>20</v>
      </c>
      <c r="C414" s="30" t="s">
        <v>1064</v>
      </c>
      <c r="D414" s="30" t="s">
        <v>233</v>
      </c>
      <c r="E414" s="53">
        <f>3.83+6.5-1.305-0.43-0.875-0.435-0.43-0.87-0.435-0.44-2.135-0.42-0.355-2.2+19.829-0.534-0.585-1.175-1.17-0.583-0.61-4.248-0.133-0.477-0.605-0.61</f>
        <v>9.0990000000000038</v>
      </c>
      <c r="F414" s="25">
        <v>147500</v>
      </c>
    </row>
    <row r="415" spans="1:6">
      <c r="A415"/>
      <c r="B415" s="30">
        <v>20</v>
      </c>
      <c r="C415" s="30" t="s">
        <v>432</v>
      </c>
      <c r="D415" s="30" t="s">
        <v>233</v>
      </c>
      <c r="E415" s="53">
        <f>2.33+0.45+2.78-0.45-1.852-0.495-0.45+0.017-1.415+3.2+3.64-0.48-0.46-0.46-0.475+0.04-0.475-0.46-0.485-0.9-1.345-0.465+3.58+1.52-1.035-0.915-0.445-0.515-1.035-0.525-1.035-0.52+0.05-0.45+0.02+0.51-0.51-0.51+0.025+5.195-1.14-0.576-1.75-0.58-1.175+0.026+1.332+18.666-0.67-0.662-1.342-0.67-0.668-1.335-2.674-2-0.66-1.995-0.677-0.67-0.666-5.338+0.029+4.65+4.643+4.651+4.653+1.326-0.663-0.66-0.663-1.33-1.33-1.333-2.667-4.643-4.651-1.323-0.66+20.075+0.78-0.67-13.387-4.04-1.345+16.695+3.336-2-2.01-0.665-1.326-0.672-0.67+0.037-0.67-0.67-0.665-0.675-0.655+19.758-0.67-1.975-0.67-0.66-0.67-4.677-0.67-0.78-2.632-0.66-1.335-0.67+19.785-4.624-1.331-4.616-1.316-0.658-0.66-1.32-1.326-0.663-2.64-0.66-1.313-0.003-1.98-9.227-1.973+0.033+5.95+4.644+4.637+4.64-2-1.99+0.44+20.394-0.631-4.431-0.613-0.602-0.605-0.6-1.324+1.207</f>
        <v>29.115999999999978</v>
      </c>
      <c r="F415" s="25">
        <v>147500</v>
      </c>
    </row>
    <row r="416" spans="1:6">
      <c r="A416"/>
      <c r="B416" s="30">
        <v>20</v>
      </c>
      <c r="C416" s="30" t="s">
        <v>433</v>
      </c>
      <c r="D416" s="30" t="s">
        <v>233</v>
      </c>
      <c r="E416" s="53">
        <f>5.735-0.495-0.495-0.99-0.99-2.48+3.06-1.035+3.07-1.035-0.505+2.97+2.97-0.505-2.97-0.5-1.03-2.035+0.005+0.01-0.13-0.5+5.485-1.97-0.555-0.565-0.558+8.235-0.558-0.518-1.095-0.515-3.085-1.1-0.55-0.558+0.054-0.518-1.035-1.525-0.52-0.52+0.001+4.586-1.015-2.56-1.025+0.014+20.059-0.715+0.715-0.722-0.72-2.865-4.305-1.07-0.715-1.435+19.927-2.22-3.586-4.277-0.715-1.44-0.715-4.267-1.42-4.265-4.268-0.72+0.099+20.433-2.215-0.755-0.735-1.46+20.622-2.15-1.409-0.011-2.14-0.73-0.715-0.704-0.011-0.715-1.43-20.922-0.36+0.205-1.396-0.024-0.715-0.715+17.683+1.894+1.19-0.715-1.265-1.265-1.889-0.004-1.261-1.9-0.715-0.673-0.042-0.595-0.63+0.715</f>
        <v>12.990999999999998</v>
      </c>
      <c r="F416" s="25">
        <v>147500</v>
      </c>
    </row>
    <row r="417" spans="1:6">
      <c r="A417"/>
      <c r="B417" s="30">
        <v>20</v>
      </c>
      <c r="C417" s="30" t="s">
        <v>434</v>
      </c>
      <c r="D417" s="30" t="s">
        <v>233</v>
      </c>
      <c r="E417" s="53">
        <f>4.666-0.475-0.94-0.935-0.47-0.451-1.422+0.027+1.74+0.43+2.13+5.19-0.425-1.068-0.43+0.585-0.86-0.585-1.062-0.585-0.434-4.605+5.295-1.045-1.035-0.566+4.85+0.53+3.5-0.53-0.505-1-2.185+0.505-1.995-0.583-0.49-1.08-0.021-1.08-0.505-0.505-1.617-0.003+0.041+0.003+8.215-0.69-0.69-0.69-1.37-4.82+0.045+3.095+3.105+3.89+4.795+5.455+4.785-5.455-1.375-0.775-0.69+0.335-0.78-0.775-0.69-2.07-6.21-0.69-0.765-0.785-1.38-0.69+0.03+15.038-1.37-0.69-8.891-2.06-0.68-1.365-2.025-0.335+0.018+1.16+9.255-0.583-0.585-0.585-0.58+19.89-0.583-0.77-1.167-0.585-0.578-0.765-1.56+4.14-0.584</f>
        <v>25.520000000000003</v>
      </c>
      <c r="F417" s="25">
        <v>159500</v>
      </c>
    </row>
    <row r="418" spans="1:6">
      <c r="A418"/>
      <c r="B418" s="30">
        <v>20</v>
      </c>
      <c r="C418" s="30" t="s">
        <v>435</v>
      </c>
      <c r="D418" s="30" t="s">
        <v>233</v>
      </c>
      <c r="E418" s="53">
        <f>5.485-1.055-0.48-1.05-0.47-0.49-1.575+0.01-0.402+0.027+3.02+3.02-3.02-0.505-0.505-1.515+5.17-0.5+0.005-1.155-0.58-0.58-0.575+5-0.565-2.28-1.68-1.12+0.56-1.12-0.56-0.555+0.04+1.34+4.01-1.34-4.01+4.04+4.76+4.775-0.69-4.775-0.685-1.375-0.695-2.06-2.005-1.36+0.07+13.343-0.78-0.79</f>
        <v>11.773</v>
      </c>
      <c r="F418" s="25">
        <v>156000</v>
      </c>
    </row>
    <row r="419" spans="1:6">
      <c r="A419"/>
      <c r="B419" s="30" t="s">
        <v>234</v>
      </c>
      <c r="C419" s="30" t="s">
        <v>435</v>
      </c>
      <c r="D419" s="30" t="s">
        <v>233</v>
      </c>
      <c r="E419" s="53">
        <f>4.6+1.125-5.725</f>
        <v>0</v>
      </c>
      <c r="F419" s="25">
        <v>164000</v>
      </c>
    </row>
    <row r="420" spans="1:6">
      <c r="A420"/>
      <c r="B420" s="30">
        <v>20</v>
      </c>
      <c r="C420" s="30" t="s">
        <v>436</v>
      </c>
      <c r="D420" s="30" t="s">
        <v>233</v>
      </c>
      <c r="E420" s="53">
        <f>8.259-0.64-0.785-0.63-1.9-1.03-0.815-1.764-0.365+0.009+5.055+5.23-0.375+1.02-2.04-0.52-1.02-0.385-0.38-4.09-1.52-0.52-0.455+5.424-1.34-0.675+4.755-2.065-0.685-0.68+0.585-0.672-1.325-0.585-2.717-0.02-0.025-0.084-0.241+0.011+10.188-5.51-0.788-3.605-0.31+0.025+7.735+7.695+5.342-0.642-0.64</f>
        <v>19.490000000000002</v>
      </c>
      <c r="F420" s="25">
        <v>156000</v>
      </c>
    </row>
    <row r="421" spans="1:6">
      <c r="A421"/>
      <c r="B421" s="30">
        <v>20</v>
      </c>
      <c r="C421" s="30" t="s">
        <v>437</v>
      </c>
      <c r="D421" s="30" t="s">
        <v>233</v>
      </c>
      <c r="E421" s="53">
        <f>6.3-1.63-0.54+0.005-3.245+0.015-0.005-0.635+0.02+2.69+2.69-0.37+0.085-0.455-2.235-0.91-0.9+4.91-4.91-0.892+0.012+3.15+3.15-0.454-0.895-0.458-0.9-0.896-1.808-0.443-0.457+0.011+0.505+4.595-0.52-0.505+9-0.54+0.505-0.565+0.49-0.515-0.56-0.51-2.81-0.505-0.51-0.512-0.565-1.025-1.035+0.032-0.57-1.695-0.57-0.57-0.57-0.56+0.085+4.785-0.675-0.695-0.69-0.69-0.685-0.66-0.69+7.032-1.57-3.895-1.567+10.234-0.675-1.37+10.224-1.57-0.685-1.37-0.68-0.69-0.79-0.795-0.084-0.782-1.365-0.792-0.688-0.783-0.798-0.79</f>
        <v>5.7509999999999994</v>
      </c>
      <c r="F421" s="25">
        <v>156000</v>
      </c>
    </row>
    <row r="422" spans="1:6">
      <c r="A422"/>
      <c r="B422" s="30">
        <v>20</v>
      </c>
      <c r="C422" s="30" t="s">
        <v>438</v>
      </c>
      <c r="D422" s="30" t="s">
        <v>233</v>
      </c>
      <c r="E422" s="53">
        <f>4.88-0.625-0.555-2.455-1.245+5.426</f>
        <v>5.4260000000000002</v>
      </c>
      <c r="F422" s="25">
        <v>156000</v>
      </c>
    </row>
    <row r="423" spans="1:6">
      <c r="A423"/>
      <c r="B423" s="28" t="s">
        <v>1035</v>
      </c>
      <c r="C423" s="30" t="s">
        <v>1018</v>
      </c>
      <c r="D423" s="30" t="s">
        <v>233</v>
      </c>
      <c r="E423" s="53">
        <f>19.68-0.53-0.355-0.18-0.35-0.35-0.18</f>
        <v>17.734999999999996</v>
      </c>
      <c r="F423" s="25">
        <v>159000</v>
      </c>
    </row>
    <row r="424" spans="1:6">
      <c r="A424"/>
      <c r="B424" s="30">
        <v>20</v>
      </c>
      <c r="C424" s="30" t="s">
        <v>439</v>
      </c>
      <c r="D424" s="30" t="s">
        <v>233</v>
      </c>
      <c r="E424" s="53">
        <f>48.123-0.38-0.745-2.257-0.565-1.122-0.19-1.135-2.252-0.38-2.07-8.069-4.131-1.5-1.13-0.19-0.945-0.205-0.75-0.19-0.565-2.259-0.371-2.067-2.257-2.243-0.19-0.38-2.254-0.931-0.005-0.185-2.441-2.248-0.37-0.38-0.175-0.063-0.159+1.306+1.305+1.306+1.309+1.303+1.303+1.302+1.303+1.303+1.309+1.309+1.306+1.307+1.309+1.304-0.374-0.75-0.191-0.559-1.309-0.926-1.306-1.304-0.56-0.75-0.19-0.19-1.306-0.745-0.38-9.137+0.019+2.274+2.279+2.3+6.845+2.3+1.703+1.927+1.729+1.923+1.927+2.304-1.136-0.948-0.385+2.309-0.952-1.923-1.537-0.195-1.703-1.927-0.385-0.192-1.925-0.755-0.195-0.384-0.768-1.154-0.19-0.575+9.792-2.3-0.195-0.196-0.19-0.593-0.216-1.16-0.196-0.195-0.591-0.195-0.2-0.195-3.342-7.267-0.965-0.205-2.3-0.38-0.188+0.026+15.125+4.692-0.2-4.3+18.808-0.83-0.2-0.6-2.376-0.61-0.33-0.4-0.2-2.373-1.19-0.17-2.289-2.284-0.179-0.575-0.95-8.18-0.41-2.285-1.517-2.57+4.93-0.46-0.04-8.869</f>
        <v>0.50799999999998136</v>
      </c>
      <c r="F424" s="25">
        <v>137500</v>
      </c>
    </row>
    <row r="425" spans="1:6">
      <c r="A425"/>
      <c r="B425" s="30" t="s">
        <v>234</v>
      </c>
      <c r="C425" s="30" t="s">
        <v>439</v>
      </c>
      <c r="D425" s="30" t="s">
        <v>233</v>
      </c>
      <c r="E425" s="53">
        <f>0.436+0.78+2.81+2.19+1.81+0.1+0.3+0.6+1.18+3.34+2.67-0.315+0.01+2.39-2.19-0.304+1.07-0.53+2.32+3.13+2.34+3.08+2.57+3.41+2.16+1.16-0.445+1.76+0.98+1.4-0.78+1.46+1.32+1.9-0.8-0.93-0.17-2.81-2.57-3.41-1.192+0.9-0.302-0.87-2.34-1.235-0.16-2.16-0.715-0.19+0.015-1.32-1.39-0.202-2.52-2.32-0.18-0.22-0.54-0.795-1.965-0.45-1.81-0.131-0.877+0.005+0.02+0.05-0.29-0.65-0.325-0.2-0.5-0.07-1.428-0.07-0.102-0.404-0.875-0.9-3.34-0.776-0.454+0.2-0.1+18.992-0.75-0.146-0.06-1.49-16.752+2.261+2.263+2.261+2.261+2.275+2.262+2.266+2.268+0.173+0.19+2.262-2.266-2.268-0.19-0.75-0.37-0.19-0.19-0.19-2.262-0.173-2.263-2.261-2.275-0.571-0.001-0.19+1.485+0.702+0.185+1.745+1.747+1.739+13.852-0.18+2.096-0.19-0.18-0.185-0.56-0.385-0.35-0.18-0.36-1.848-1.685-0.001-0.36-0.557-0.745-0.186-0.19-0.7-0.702-1.739-0.2-0.675-2.784-0.56-2.785-1.085-0.55-0.19-0.746-0.177-0.182-2.096-0.307-0.043+0.266-0.933-0.19-3.461+0.058+0.002+19.939-0.195-0.2-0.39-0.975-1.174</f>
        <v>17.004999999999988</v>
      </c>
      <c r="F425" s="25">
        <v>142500</v>
      </c>
    </row>
    <row r="426" spans="1:6">
      <c r="A426"/>
      <c r="B426" s="30">
        <v>20</v>
      </c>
      <c r="C426" s="30" t="s">
        <v>933</v>
      </c>
      <c r="D426" s="30" t="s">
        <v>233</v>
      </c>
      <c r="E426" s="53">
        <f>2.03+2.025+2.033+2.021+2.04+8.097+2.021-10.149-8.097+1.372+0.39+1.378+0.216+1.377+1.373+1.376+1.376+1.377+1.374+1.369+1.373+1.378+1.376+1.375+0.139-1.372-1.377-1.376-1.375-1.369-1.373-1.006-0.205-0.2-0.41-0.39-0.395-9.792</f>
        <v>0</v>
      </c>
      <c r="F426" s="25">
        <v>137500</v>
      </c>
    </row>
    <row r="427" spans="1:6">
      <c r="A427"/>
      <c r="B427" s="30">
        <v>20</v>
      </c>
      <c r="C427" s="30" t="s">
        <v>440</v>
      </c>
      <c r="D427" s="30" t="s">
        <v>233</v>
      </c>
      <c r="E427" s="53">
        <f>2.51+2.69-0.2-2.51-2.31+4.34+0.8+1.82+1.2+2-0.205-0.2-0.665-0.2-0.2-0.195+0.015-0.6-0.4-0.405-0.42+0.385-1.82-0.575-1.045-0.41-2.47-0.8+0.025+4.52+0.21+4.42+1.06-0.21-0.22-1.698-0.635-0.636-0.21-0.63-0.85-0.216-0.22-1.07-1.516-0.652+4.814-0.44-0.435-0.65-0.628-1.52-1.769-0.21+2.65+2.55-0.218-2.317-0.275-0.163+0.047-0.235+8.097-3.631-0.205+20.268-0.205-1.089-0.927-0.222-0.46-2.031-3.232-0.235+0.681-0.242-0.439-2.035-0.1-2.55-14.117+0.002+0.01+0.014+0.401+2.141+1.106+16.986-0.401-1.675-0.24-0.48-0.476-0.24-0.238-1.421-0.009-0.225+13.858+1.194+2.394+2.392-0.45-0.48-0.24-0.96-0.717-0.24-1.432-1.194-0.48-0.23-0.72-1.161-0.235-0.225+0.033-0.237-0.17+0.17-0.24-1.914-2.389-2.41-0.234-2.389-0.24-0.155+0.155-0.24-0.246-2.37-0.238-0.155-0.237-3.124-0.235-0.47-0.236</f>
        <v>8.8870000000000111</v>
      </c>
      <c r="F427" s="25">
        <v>141000</v>
      </c>
    </row>
    <row r="428" spans="1:6">
      <c r="A428"/>
      <c r="B428" s="30" t="s">
        <v>234</v>
      </c>
      <c r="C428" s="30" t="s">
        <v>440</v>
      </c>
      <c r="D428" s="30" t="s">
        <v>233</v>
      </c>
      <c r="E428" s="53">
        <f>2.87+4.51-1.86-0.656-0.418-2.082-0.19-0.208-0.205+2.89+2.32-0.2-0.22-2.89-2.32-1.177-0.213+0.049+3.86+0.81-0.202-3.658-0.81+0.38+1.36-1.282+4.88+3.62+1.45-0.43-0.86-3.19-0.85-0.22-0.43-1.45-0.65+19.651-3.935-0.7-0.221-0.215-1.685+0.03-0.192-1.4-5.089-0.935-1.39-0.7-0.415-0.187-0.001-1.39-0.24+20.6-0.24-0.01-1.17-0.96-0.715-0.235-0.945-0.47-0.161-0.794-2.829-1.175-0.47-0.24-0.465-0.24-9.28-0.093-0.142-0.48+20.431-2.344-1.414-2.11-0.235-0.235-0.47-0.235-2.83-0.48-0.235-0.475-0.24-1.155-0.705-0.71-0.225-0.94-0.235-0.24-0.23-0.24</f>
        <v>7.2480000000000002</v>
      </c>
      <c r="F428" s="25">
        <v>156000</v>
      </c>
    </row>
    <row r="429" spans="1:6">
      <c r="A429"/>
      <c r="B429" s="28" t="s">
        <v>894</v>
      </c>
      <c r="C429" s="30" t="s">
        <v>440</v>
      </c>
      <c r="D429" s="32" t="s">
        <v>930</v>
      </c>
      <c r="E429" s="54">
        <f>0.61-0.165-0.17-0.15</f>
        <v>0.12499999999999992</v>
      </c>
      <c r="F429" s="102">
        <v>105000</v>
      </c>
    </row>
    <row r="430" spans="1:6">
      <c r="A430"/>
      <c r="B430" s="30">
        <v>20</v>
      </c>
      <c r="C430" s="30" t="s">
        <v>1099</v>
      </c>
      <c r="D430" s="32" t="s">
        <v>930</v>
      </c>
      <c r="E430" s="53">
        <f>3.515-0.27-1.07-0.984</f>
        <v>1.1909999999999998</v>
      </c>
      <c r="F430" s="102">
        <v>105000</v>
      </c>
    </row>
    <row r="431" spans="1:6">
      <c r="A431"/>
      <c r="B431" s="30" t="s">
        <v>234</v>
      </c>
      <c r="C431" s="30" t="s">
        <v>441</v>
      </c>
      <c r="D431" s="30" t="s">
        <v>233</v>
      </c>
      <c r="E431" s="53">
        <f>4.37-0.225-0.435-0.876-0.865-0.225-0.223-0.222-0.22+2.92+2.35-0.226-0.222-0.224-1.03-0.64-0.205-0.214-0.224+0.031-1.045-2.35</f>
        <v>0</v>
      </c>
      <c r="F431" s="25">
        <v>150900</v>
      </c>
    </row>
    <row r="432" spans="1:6">
      <c r="A432"/>
      <c r="B432" s="30">
        <v>20</v>
      </c>
      <c r="C432" s="30" t="s">
        <v>442</v>
      </c>
      <c r="D432" s="30" t="s">
        <v>233</v>
      </c>
      <c r="E432" s="53">
        <f>4.98+4.77+1-3.13-0.27-0.54+0.25-0.53+1.44-0.525+0.015-0.55+2.36+1.03+4.21+3.96-0.275-0.794-0.266-1.44-2.886-1.085-1.03-1.324-3.96-0.256-0.262-0.25-0.25-1.315-0.775+1.3-0.25-0.007-0.28-1.265-0.29+2.62+2.62-0.26-1.31+21.505-1.04-0.555-0.28-0.275-0.27-0.83-0.825-0.04-0.21-0.27-0.922-0.265-0.776-0.265-0.27-0.264-0.555-0.28-2.215-0.525-0.276-0.815-1.107-1.39-1.385-0.278-10.495+0.163-0.27+0.1+17.736-0.55-3.764-0.27-0.815-0.81-0.27-1.085-0.56-0.27-2.965-0.82+21.062-1.355-0.27-0.539-0.54-1.35-0.28-2.148-0.27-1.07-0.27-12.695-3.225-0.462-0.363-0.27-0.545-0.275+20.455-0.27-0.265-0.265-0.265-0.53-0.265-0.785-0.265-2.631-0.78-0.265-0.26-0.78-0.259-0.519+7.938+12.702-0.78-0.52-1.566-0.265-0.286-0.244-0.566-0.222-1.065-1.568-0.031-1.324-0.265-0.795-0.212-0.053-0.8-0.157-0.638</f>
        <v>22.025999999999975</v>
      </c>
      <c r="F432" s="25">
        <v>137500</v>
      </c>
    </row>
    <row r="433" spans="1:6">
      <c r="A433"/>
      <c r="B433" s="30" t="s">
        <v>234</v>
      </c>
      <c r="C433" s="30" t="s">
        <v>442</v>
      </c>
      <c r="D433" s="30" t="s">
        <v>233</v>
      </c>
      <c r="E433" s="53">
        <f>1.889-1.467-0.235+2.721+2.714+2.728+2.716+2.718+2.183+2.724+2.723-2.716-2.45-0.271-0.545-0.235+0.048-0.545-0.275-0.27-0.275-0.54-0.005-0.269-2.728-0.545-0.545-1.638-2.723-0.545-0.55+19.813-0.915-0.305-0.31-0.545-0.255-0.268-0.825-0.275-2.445-4.584+3.178+17.454-0.612-0.53-0.308-0.897-0.27-16.174-13.807-0.313-0.31-0.301+0.012+20.589</f>
        <v>20.589000000000002</v>
      </c>
      <c r="F433" s="25">
        <v>142500</v>
      </c>
    </row>
    <row r="434" spans="1:6">
      <c r="A434"/>
      <c r="B434" s="30">
        <v>20</v>
      </c>
      <c r="C434" s="30" t="s">
        <v>443</v>
      </c>
      <c r="D434" s="30" t="s">
        <v>233</v>
      </c>
      <c r="E434" s="53">
        <f>26.143-0.315-2.274-2.287-0.347-4.575-1.53-0.332-3.825-3.835+17.205+3.825-0.385-0.36-0.025-0.369-1.91-0.004-17.205-3.825-3.045-0.795+0.07+21.348+20.157-7.376-3.882-0.35-0.35-3.889-0.355-3.847-15.022-0.35-0.7-0.36-0.691-3.384-0.966+0.017+4.5+4.52+3.001+4.495+4.513+4.515+4.516-0.38-0.755-1.525-0.75-1.515-0.38-4.513-0.71-1.486-3.405-1.115-0.78-4.495-0.38-0.755-1.5-0.375-1.135-0.37+4.67+4.685+1.563+3.909+0.783+4.693-0.376-0.355-0.015-0.395-1.563+3.828+3.828+3.828+3.852+3.86+3.824+3.838-4.67-4.685-2.35+3.05-1.559-0.006-0.382-0.013-4.693+0.013-3.05-0.755-0.755+21.31-3.852-3.86-3.824-0.745-0.375-0.36-0.385-0.385-0.39-1.17-0.38-0.765-1.55-0.39-1.55-2.683-0.386-0.386-1.535-1.152-12.031+1.162-0.39-1.535-1.54-0.38+20.697-0.373-0.385-0.385-0.385-13.792-0.387-0.003-1.532-4.599-4.601-0.385-2.685+0.004+40.106-0.385-0.77-0.77-0.77-0.739-0.031+19.215+18.875-0.381-0.37-3.691-1.11-0.37-0.37-1.53-0.745-0.385-0.722-0.013</f>
        <v>65.043999999999954</v>
      </c>
      <c r="F434" s="25">
        <v>137500</v>
      </c>
    </row>
    <row r="435" spans="1:6">
      <c r="A435"/>
      <c r="B435" s="30" t="s">
        <v>234</v>
      </c>
      <c r="C435" s="30" t="s">
        <v>443</v>
      </c>
      <c r="D435" s="30" t="s">
        <v>233</v>
      </c>
      <c r="E435" s="53">
        <f>0.635+3.24+1.9-3.24-1.9+0.37+3.54+3.42-3.54-3.42-0.37-0.64+0.005+1.88+1.31+2.2+2.14-1.245-1.836+1.79+0.96+3.22+2.89+1.23-2.575-0.62-0.362+3.57+3.43+3.12-0.645-2.89-1.418-0.62-0.01-0.625-0.3-1.568-3.57-2.09-0.298-0.312-0.69-0.335-3.43-1.03-0.96-0.31+0.005+2.4+1.71+1.01-0.34-2.4-0.334-0.336-0.006-0.334-0.68-0.344+0.96-0.348-0.004+1.26+3.322+3.609+14.49-0.31-0.906-0.305-0.305-0.004-0.301+0.004-1.26-13.294+0.011-0.61-0.96-1.792-3.609+29.569+21.08-16.08-0.38-3.44-0.385-8.867-1.545-3.84-0.385-0.385-3.06-3.828-0.385+3.924+4.723+4.717+3.537+4.727-0.79-2.747-0.783-0.4-1.58-0.77-0.385-0.39-2.695-0.395-0.395-0.79-0.371-0.024+20.329-0.37-0.75-2.59-0.8-0.375-0.4-0.4-4.717-1.05-0.349-1.111-0.375-1.19-0.745-2.964-0.006-0.4-3.155-0.385-5.566-0.375-1.509-0.071-2.965-0.369-0.001-0.032-3.412-0.368-0.395+19.156-0.74-0.376-2.936-0.003-3.679-0.376-0.374-0.366-1.105-1.84-1.105+19.559-0.73-12.042-0.74-4.929-0.395+0.079</f>
        <v>7.3740000000000068</v>
      </c>
      <c r="F435" s="25">
        <v>142500</v>
      </c>
    </row>
    <row r="436" spans="1:6">
      <c r="A436"/>
      <c r="B436" s="28" t="s">
        <v>893</v>
      </c>
      <c r="C436" s="30" t="s">
        <v>443</v>
      </c>
      <c r="D436" s="30" t="s">
        <v>233</v>
      </c>
      <c r="E436" s="53">
        <f>0.55</f>
        <v>0.55000000000000004</v>
      </c>
      <c r="F436" s="25">
        <v>150900</v>
      </c>
    </row>
    <row r="437" spans="1:6">
      <c r="A437"/>
      <c r="B437" s="30">
        <v>20</v>
      </c>
      <c r="C437" s="30" t="s">
        <v>444</v>
      </c>
      <c r="D437" s="30" t="s">
        <v>233</v>
      </c>
      <c r="E437" s="53">
        <f>2.19-0.365-0.365-1.46+4.81+2.59-0.375-1.122-0.38-0.378-0.744-0.38-1.431-1.901+1.48-0.37-0.365+1.56+2.08-0.394-2.08-0.39+3.32+1.89-0.125-1.115-0.005-0.38+0.005+1.12+3.68-0.37-1.12-0.37-1.11-0.38-0.365-1.11-0.76-1.104-0.776-0.375+0.005-0.738-0.765-0.368-0.36+0.02-0.37+0.01+3.36+0.31-2.606-0.31-0.754+2.41+2.81-0.806-2.01-0.402-0.402-0.8-0.804+0.004+2.52+2.57-0.448-1.648-1.282-0.428-0.424-0.006-0.428-0.25+0.056+3.572+4.465+2.695+4.491+4.467-0.9-4.017-0.43+0.004-2.255-0.44-0.45-0.45+4.557+4.564+4.567+2.731+3.651-1.79-1.325-2.738-0.45-1.785-0.445-2.281-0.45-0.458-0.005-2.247-0.892-0.008-0.45-0.445-2.246-0.91-0.455-2.28-2.282-0.46-0.42-0.021-0.002-0.017-2.282+1.796+4.5+13.516-1.8-0.46-0.455-2.7-0.455-0.455-1.352-1.825-0.452-0.45-0.449-0.005-0.455-0.45-2.71-0.45-0.45-0.452+20.413-0.45+18.406-1.35-1.82-0.45-0.446-1.8-4.09-0.455-2.03-0.45-0.455-0.455-0.403-4.09-0.46-0.455-0.46-0.915</f>
        <v>25.876000000000023</v>
      </c>
      <c r="F437" s="25">
        <v>137500</v>
      </c>
    </row>
    <row r="438" spans="1:6">
      <c r="A438"/>
      <c r="B438" s="30" t="s">
        <v>234</v>
      </c>
      <c r="C438" s="30" t="s">
        <v>444</v>
      </c>
      <c r="D438" s="30" t="s">
        <v>233</v>
      </c>
      <c r="E438" s="53">
        <f>2.274+0.32+3.57+3.24+1.27-3.57-0.775-0.759-0.026-2.575-0.32+2.39+2.68-1.225-0.74+0.026+1.08-0.372+0.68+0.38-0.68-0.38+4.06-1.52-3.706+2.82+0.69+1.37-0.345-0.78-2.122-1.27-1.025-0.636-0.793-0.38-0.009-0.698-0.69-0.345+0.82-0.205-0.625-0.37+0.01-0.35-0.385+0.025+4.65+0.82+4.65-0.82-0.43-2.54-0.845-0.43-0.405-1.71-1.69-1.28+0.03+19.855-0.019-2.246-0.01-0.9-0.905-7.675-0.454-1.352-2.26-2.26-0.457+17.395-11.863+4.24+4.25+4.241-2.972-4.24-3.81-2.56-2.56-1.355-0.44-1.681+0.009+20.209-0.46-12.852-0.46-0.465-1.38-3.67+2.493+4.158+4.162+4.153+4.159-4.158-4.162-4.153-4.159-2.493+0.868-0.868+4.204+4.198+3.777+4.208+4.208+4.198+3.791+9.138-0.41-0.005-0.41-4.198-1.29-0.42-0.425+0.765-4.208-2.076-1.265-1.265-3.338-0.39-0.41+30.124-0.76-0.402-0.073-0.375-2.485-0.438-1.646-0.439-4.198-2.1-0.42-0.837-0.84-0.845-0.425-31.837+3.709-1.675-1.254-0.42+25.096+0.392-0.425-0.425-1.278-2.975-0.394-1.281-0.878-1.275-0.425-1.663-1.274-0.85-2.127-0.425-2.13-0.423-2.551-0.004-0.85-0.392</f>
        <v>5.1059999999999865</v>
      </c>
      <c r="F438" s="25">
        <v>142500</v>
      </c>
    </row>
    <row r="439" spans="1:6">
      <c r="A439"/>
      <c r="B439" s="30">
        <v>20</v>
      </c>
      <c r="C439" s="30" t="s">
        <v>445</v>
      </c>
      <c r="D439" s="30" t="s">
        <v>233</v>
      </c>
      <c r="E439" s="53">
        <f>6.352+4.455+4.495+1.51-3.7-0.765-0.375-0.74-0.375-0.365-1.125-0.385-0.38-0.375-0.365-0.015-0.725-0.415-1.292-0.43-1.296-2.43-0.04+2.66+2.22+5.63+5.19-0.892-0.405-0.864-0.44-1.328-0.405-0.375+0.02-2.415-0.81-0.445-0.415+0.395-0.44-0.4-1.335-0.4-0.395-0.805-0.405-0.42-0.39-0.395-0.8-1.195-1.21+0.05+15.078+4.671-0.52-1.045-0.521-0.525-1.04-0.525-0.52-0.52-0.52-1.564-0.52-0.525-2.08-1.05-1.04+3.639+3.634+3.64+3.643+3.644+2.078-2.078-0.52-0.525-0.52-3.124-3.64-1.555-2.08-1.039-1.554-0.004-1.045+2.129+3.721+3.722+3.679+3.698+3.697-1.6-0.526-0.535-0.515-1.07-0.53-0.535-0.09-1.05-0.501-0.535-1.05-2.129-0.533-1.587-0.535-0.53-0.53-1.06-1.059-1.053-1.55-3.197-2.6+20.226-3.115-2.51+0.053-1.039-0.527-0.53-1.047-0.013+3.619+3.618+12.913-0.523-1.041-1.04-0.52-1.035-1.04-0.042-0.488-1.04+0.266-0.52-3.135</f>
        <v>27.063999999999979</v>
      </c>
      <c r="F439" s="25">
        <v>147500</v>
      </c>
    </row>
    <row r="440" spans="1:6">
      <c r="A440"/>
      <c r="B440" s="30" t="s">
        <v>234</v>
      </c>
      <c r="C440" s="30" t="s">
        <v>445</v>
      </c>
      <c r="D440" s="30" t="s">
        <v>233</v>
      </c>
      <c r="E440" s="53">
        <f>3.214-0.618-0.346-0.346-1.94+0.036+22.804-1.63+3.145+3.668+3.66+3.667+3.672+2.623-0.555-2.625-0.525-1.51-2.1-0.523-1.05-0.52-0.005-1.05-0.51-0.01-1.05-0.525-1.088-0.525</f>
        <v>27.437999999999988</v>
      </c>
      <c r="F440" s="25">
        <v>147500</v>
      </c>
    </row>
    <row r="441" spans="1:6">
      <c r="A441"/>
      <c r="B441" s="30">
        <v>20</v>
      </c>
      <c r="C441" s="30" t="s">
        <v>446</v>
      </c>
      <c r="D441" s="30" t="s">
        <v>233</v>
      </c>
      <c r="E441" s="53">
        <f>5.41-0.41-0.42-0.835-0.42-0.417-1.245-0.425-0.425+2.89-0.398-0.019+2.9-0.42+0.024-0.43-0.41-0.42-0.425+2.89+2.86+5.325-0.42-1.235-0.91-0.003-0.825-0.413-0.41-0.455-0.45-0.435-0.83-0.9-0.45-0.82-0.42-2.86-0.45-0.89-1.283-0.382+0.046-0.45+0.065+5.44-0.48-1.966+0.006-0.505-0.505-0.5-0.505+4.063-0.495+0.509+2.332+3.473+1.737+4.631+4.054-0.509-0.58-0.49-0.585-0.572-0.585-1.74-0.58-0.585-0.58-4.063-1.141-1.16-1.165-0.58-0.587-0.568-0.012-2.294-1.179+4.114+4.106+4.116+4.108+4.109+0.588-0.588-0.59-2.35-0.59-4.116-1.749-1.18-0.58-0.577-3.532-0.554-0.015-1.769-0.576-0.001-1.18-2.338+4.037+4.033+4.045+4.603+4.051-2.31-0.58-4.045-4.051-0.58-0.59-0.58-0.553-0.027-0.58+20.922-1.16-1.16-0.58-0.58-4.076-4.064-1.741-1.745-4.07-0.585-0.552-0.028-0.58+13.023+8.274-1.185-1.185-1.16-0.58-0.58-0.58-1.155+0.077-3.565-0.596-0.579-0.003-0.585-2.319</f>
        <v>14.766000000000016</v>
      </c>
      <c r="F441" s="25">
        <v>137500</v>
      </c>
    </row>
    <row r="442" spans="1:6">
      <c r="A442"/>
      <c r="B442" s="30" t="s">
        <v>234</v>
      </c>
      <c r="C442" s="30" t="s">
        <v>446</v>
      </c>
      <c r="D442" s="30" t="s">
        <v>233</v>
      </c>
      <c r="E442" s="53">
        <f>4.54-0.805-0.42-2.51-0.41-0.415+0.02+21.872-1.214-0.595-1.21-4.91-0.615-10.415-0.605+20.968-0.585-0.58-0.58-0.585-0.585</f>
        <v>20.361000000000004</v>
      </c>
      <c r="F442" s="25">
        <v>152000</v>
      </c>
    </row>
    <row r="443" spans="1:6">
      <c r="A443"/>
      <c r="B443" s="30">
        <v>20</v>
      </c>
      <c r="C443" s="30" t="s">
        <v>1046</v>
      </c>
      <c r="D443" s="30" t="s">
        <v>233</v>
      </c>
      <c r="E443" s="53">
        <f>4.068+4.086+2.328-0.59-0.58+5.695-0.59</f>
        <v>14.417</v>
      </c>
      <c r="F443" s="25">
        <v>147000</v>
      </c>
    </row>
    <row r="444" spans="1:6">
      <c r="A444"/>
      <c r="B444" s="30">
        <v>20</v>
      </c>
      <c r="C444" s="30" t="s">
        <v>447</v>
      </c>
      <c r="D444" s="30" t="s">
        <v>233</v>
      </c>
      <c r="E444" s="53">
        <f>6.378+9.066+4.876+4.875+0.694-2.787-0.694-0.695-4.875-0.7-0.695-4.889-4.981-4.176+0.041+50.466-2.805-4.211-4.903-0.7-2.108+17.14-4.901-4.904+5.48-1.403-4.906+2.857-4.904+4.835+4.83-3.508-17.14-4.903-4.905-0.705+4.307+4.302+4.302+1.431+4.304-4.83-0.7-2.857-3.635-0.715-0.61-0.47-0.62-0.716-4.304-1.435+0.162+3.567+1.425+3.566+3.573+3.575+2.142+3.569-2.157-1.825+4.246+2.832+4.249+4.249+4.24-3.655-0.01-2.125-2.832+60.54-0.71-2.84-0.71-4.302-6.726-4.249-4.249-1.415-0.71-3.567-0.03-0.715-0.696-0.014-3.569-0.71-0.015-0.7-4.048-2.86-0.706-0.715-1.43-0.006-0.706-1.355-0.024-0.686-2.143-0.002+18.248+0.642-0.715-3.573-1.424-2.02-1.355-2.02-0.71-0.718-2.105-10.8-0.705-1.404-2.115-2.094-0.642+19.313+0.692-1.405-0.692-1.4-4.837-0.699-0.001-1.406-4.817-0.67-0.753-0.011-1.341-0.51-2.105-0.062-0.642-4.837-0.69-0.68-6.072-4.705</f>
        <v>24.777000000000037</v>
      </c>
      <c r="F444" s="25">
        <v>147000</v>
      </c>
    </row>
    <row r="445" spans="1:6">
      <c r="A445"/>
      <c r="B445" s="30" t="s">
        <v>234</v>
      </c>
      <c r="C445" s="30" t="s">
        <v>447</v>
      </c>
      <c r="D445" s="30" t="s">
        <v>233</v>
      </c>
      <c r="E445" s="53">
        <f>0.49+4.135+4.14+4.165+2.585+1.51+4.16-3.625-1.54-1.51-1.55-1.05-0.01-2.095-0.532-1.552-4.16-0.5-1.538-1.097+0.064+4.725-0.53+4.72-2.11-1.065-1.59+1.95+1.97+0.48+0.95+0.45-1.575-2.12+0.03-1.95+0.45+0.45-0.95-1.464-0.52-0.49-0.48-0.45-0.45-0.45+0.035-0.506+4+16.022+2.93+0.92+0.47-6.605+1.28-6.035-0.92-0.47-1.28-1.35-1.345-0.67+4.886+4.894+4.89+4.897-2.11-0.7-4.894-2.087-4.89-1.47-0.49-0.695-2.032-0.97-1.4-1.381-1.41-2-4.375+19.697+0.015-0.73-10.218-2.19-1.456+15.349-0.696+4.887+4.906-1.395-14.657+0.004-3.492-4.906-0.728+3.581+0.685+2.148+3.581+0.663+3.577+3.579+1.206+3.556+3.58+3.548-0.685-2.148-0.663-1.45-0.725-2.85-0.685-0.006-0.04-0.71+15.372+2.801+1.403-0.694-14.965-3.577-0.605-0.703-2.801-2.792-0.695-3.494-0.601-0.7-2.099-0.7-4.892+55.065-4.937-4.929-4.924-4.931-19.667+4.68+4.679-2.109+0.69+2.12+0.669+4.137+4.141-4.922-0.006-2.109-0.651-0.705-2.01-4.68-2.12-10.202-2.641+19.778-2.469-0.181+0.595-1.319-6.922+0.611-1.84-0.611-0.595-0.669</f>
        <v>11.016</v>
      </c>
      <c r="F445" s="25">
        <v>152500</v>
      </c>
    </row>
    <row r="446" spans="1:6">
      <c r="A446"/>
      <c r="B446" s="30">
        <v>20</v>
      </c>
      <c r="C446" s="30" t="s">
        <v>448</v>
      </c>
      <c r="D446" s="30" t="s">
        <v>233</v>
      </c>
      <c r="E446" s="53">
        <f>1.16+3.47-0.585-2.31-0.575-1.19+0.03+1.02+2.69+1.07+0.52-2.15+4.805-0.52+2.7+2.68-0.605-1.07-0.545+0.005-4.22-2.7-2.68-1.02+0.02+6.365+5.625+5.315-0.71-0.695-0.585-5.67-0.71+3.939+1.572+3.94+4.733+3.943+3.938-0.79-0.585-0.79-2.358-0.012-0.695-0.79-0.8-0.785-0.79-0.79-2.355-3.16-0.79-1.611-3.143-2.356+1.58-0.779-0.011-1.155-4.065-0.08-1.58-0.771-0.782-0.798+0.041+5.65+10.558</f>
        <v>16.208000000000006</v>
      </c>
      <c r="F446" s="25">
        <v>147000</v>
      </c>
    </row>
    <row r="447" spans="1:6">
      <c r="A447"/>
      <c r="B447" s="30">
        <v>20</v>
      </c>
      <c r="C447" s="30" t="s">
        <v>449</v>
      </c>
      <c r="D447" s="30" t="s">
        <v>233</v>
      </c>
      <c r="E447" s="53">
        <f>16.725+0.605+4.24+0.605-0.552+0.005-3.3-1.674-0.555-0.554-2.76-0.555-1.655+0.019-0.605-0.553-2.773+0.002-1.82-4.24-0.02-0.605+0.02+4.355+0.615+4.855+4.82-1.22-0.615-0.61-0.61-1.8-0.61-0.61-0.61-0.655+4.815+3.58-1.2-3.09-1.23-0.595-3.02-2.39-1.8-0.6-0.615-0.608+0.03+5.105-0.605+0.023+5.055-5.105-1.235-2.57-0.635-0.63+0.015+2.89+2.905+4.414-1.155-2.375-0.585-0.58-1.165-0.025+4.79-0.68+3.355+3.395-3.42+3.415-0.675-0.69-0.685-0.685-0.69-3.395-1.38-0.69-0.57-0.68+5.148+5.248-0.74-0.685-0.6-0.09-0.75-0.58-0.68-1.49-0.665+0.021-0.735-1.47+10.158-2.03-0.68-0.666-0.68-0.75-0.68-0.79-0.683-1.352-0.81-1.47-0.708-0.022-0.685</f>
        <v>5.1230000000000011</v>
      </c>
      <c r="F447" s="25">
        <v>147000</v>
      </c>
    </row>
    <row r="448" spans="1:6">
      <c r="A448"/>
      <c r="B448" s="30" t="s">
        <v>234</v>
      </c>
      <c r="C448" s="30" t="s">
        <v>449</v>
      </c>
      <c r="D448" s="30" t="s">
        <v>233</v>
      </c>
      <c r="E448" s="53">
        <f>4.815-0.61-1.215-0.6+7.12-2.985-0.585-0.613-0.581-0.595-0.605-1.165</f>
        <v>2.3810000000000007</v>
      </c>
      <c r="F448" s="25">
        <v>161000</v>
      </c>
    </row>
    <row r="449" spans="1:6">
      <c r="A449"/>
      <c r="B449" s="30">
        <v>20</v>
      </c>
      <c r="C449" s="30" t="s">
        <v>1047</v>
      </c>
      <c r="D449" s="30" t="s">
        <v>233</v>
      </c>
      <c r="E449" s="53">
        <f>10.25-0.795-0.8-0.792-0.785-7.115+0.037</f>
        <v>-8.1185058675714572E-16</v>
      </c>
      <c r="F449" s="25">
        <v>156000</v>
      </c>
    </row>
    <row r="450" spans="1:6">
      <c r="A450"/>
      <c r="B450" s="30">
        <v>20</v>
      </c>
      <c r="C450" s="30" t="s">
        <v>450</v>
      </c>
      <c r="D450" s="30" t="s">
        <v>233</v>
      </c>
      <c r="E450" s="53">
        <f>9.71-1.075-1.07-0.025-0.525-0.542-0.546-1.084-0.545-0.55-0.545-1.075-1.074-0.013-0.51-0.547+0.016+5.26-2.27-0.77-0.75+2.36+2.96-1.51+0.04+3.495-1.19-0.605-1.725+0.025-1.19-0.595-0.595-0.59-0.585-0.592-0.58-0.605+0.012+4.08+4.036-0.675-0.68-1.35-1.36-0.68-0.695-1.36-0.665-0.676+0.025+5.21-2.235+4.445+6.145-2.235-0.74-3.705-0.74-6.145+4.042+3.38+4.038+4.048-1.346-1.34-1.356-3.38-4.038-2.004-1.355-0.67-0.019+21.452-0.915-0.805-0.792-0.8-0.81-0.8-0.8-0.795-4.75-0.792-0.782-0.792-0.8-0.787-0.795-1.575-1.57-0.788</f>
        <v>1.5040000000000042</v>
      </c>
      <c r="F450" s="25">
        <v>156000</v>
      </c>
    </row>
    <row r="451" spans="1:6">
      <c r="A451"/>
      <c r="B451" s="30">
        <v>20</v>
      </c>
      <c r="C451" s="30" t="s">
        <v>1048</v>
      </c>
      <c r="D451" s="30" t="s">
        <v>233</v>
      </c>
      <c r="E451" s="53">
        <f>5.954+4.244</f>
        <v>10.198</v>
      </c>
      <c r="F451" s="25">
        <v>156000</v>
      </c>
    </row>
    <row r="452" spans="1:6">
      <c r="A452"/>
      <c r="B452" s="30">
        <v>20</v>
      </c>
      <c r="C452" s="30" t="s">
        <v>991</v>
      </c>
      <c r="D452" s="30" t="s">
        <v>233</v>
      </c>
      <c r="E452" s="53">
        <f>3.82+6.12-0.77-3.05-5.36+5.678-4.07+4.102</f>
        <v>6.47</v>
      </c>
      <c r="F452" s="25">
        <v>156000</v>
      </c>
    </row>
    <row r="453" spans="1:6">
      <c r="A453"/>
      <c r="B453" s="30">
        <v>20</v>
      </c>
      <c r="C453" s="30" t="s">
        <v>451</v>
      </c>
      <c r="D453" s="30" t="s">
        <v>233</v>
      </c>
      <c r="E453" s="53">
        <f>6.408-1.165-0.585-0.58-0.6-1.205+2.68+2.69-1.34-2.69-0.6-0.582-0.445-0.895-0.515-0.64+0.064+4.91+3.78+3.8-1.261-1.89-3.285-3.8-0.63+0.001-1.635+0.01+3.95-0.8-2.36-0.79+3.4+6.816-2.055-0.696-0.67+0.021-0.675-0.68-3.398-2.034-0.029+3.4+3.365-3.4-0.67-2.695+4.582+4.61+0.926-0.926-0.915-4.61-0.92-2.741-0.006+5.282+5.322+5.248-1.065-4.21-2.192-5.248+4.726+3.95+0.776-0.78-1.6-1.063-0.007-1.065</f>
        <v>8.0740000000000069</v>
      </c>
      <c r="F453" s="25">
        <v>156000</v>
      </c>
    </row>
    <row r="454" spans="1:6">
      <c r="A454"/>
      <c r="B454" s="30">
        <v>20</v>
      </c>
      <c r="C454" s="30" t="s">
        <v>1049</v>
      </c>
      <c r="D454" s="30" t="s">
        <v>233</v>
      </c>
      <c r="E454" s="53">
        <f>7.392+3.146-1.05-3.146-0.004-1.06</f>
        <v>5.2780000000000005</v>
      </c>
      <c r="F454" s="25">
        <v>156000</v>
      </c>
    </row>
    <row r="455" spans="1:6">
      <c r="A455"/>
      <c r="B455" s="30">
        <v>20</v>
      </c>
      <c r="C455" s="30" t="s">
        <v>452</v>
      </c>
      <c r="D455" s="30" t="s">
        <v>233</v>
      </c>
      <c r="E455" s="53">
        <f>7.854-0.967-0.165-2.718-1.603-2.432+0.031+3.11+1.95+2.12-0.495-0.975-1.64-0.806-0.327-0.815-0.81-0.162-1.132-0.016-0.002+1.27+1.72-0.945+3.87-0.326-1.08-3.55+0.006+3.27+1.63+0.005-0.49-0.005-0.33-0.16-0.165-0.175-0.975-2.12-0.17-0.81+3.15+0.79+0.92-1.425-0.95-0.79-1.725-0.47+0.03+0.83+0.97+4.18+0.83+1.46-0.17-0.17-0.83-3.855+0.015-0.165+2.797+2.458+2.447+2.466+2.453+2.043+2.446+2.442-1.638-2.442-0.205-0.615-2.458-0.615-1.645-0.218-1.217-2.453-2.043-2.596-0.655-0.97-0.83+0.004-0.603-0.808-0.031+2.059+2.052+2.05+2.055+2.468+2.473+2.055+2.053+2.059-0.215-2.055-0.335-0.165-0.21-1.425-2.055-2.468-2.053-2.059-0.209-0.201-0.205-2.05-0.002-0.16+0.051+13.093-2.501-2.491-1.035+2.489+2.485+2.485-1.66-0.63-1.461-2.489-0.21-1.434-0.21-7.466+19.789-0.21-1.243-1.865-0.179-0.031-0.42-0.21-13.996-4.768+0.051+9.98-0.78-3.89-3.1-2.21</f>
        <v>3.9968028886505635E-15</v>
      </c>
      <c r="F455" s="25">
        <v>146000</v>
      </c>
    </row>
    <row r="456" spans="1:6">
      <c r="A456"/>
      <c r="B456" s="30">
        <v>20</v>
      </c>
      <c r="C456" s="30" t="s">
        <v>453</v>
      </c>
      <c r="D456" s="30" t="s">
        <v>233</v>
      </c>
      <c r="E456" s="53">
        <f>3.879-0.252-0.392-0.043-0.486-0.767-0.22-1.494-0.277+0.057+2.19+2.13+0.55-0.2-0.2-0.554+0.004-1.35-0.2-0.18-0.005-1.995+20.678-0.245-0.495-2.7-2.957-0.25-1.969-2.961-2.952-2.951-0.245-0.25+2.864+2.869+2.395+2.398+2.396+2.397+0.209+2.395+2.87-0.24+2.4+2.392+1.686+0.234+2.395+2.401+2.382+2.402+2.392+2.409-0.234-2.624-0.481-0.48-0.96-0.48-0.245-0.96-0.72-0.24-1.97-1.92-2.16-2.392-0.488-2.869-0.238-0.002-2.16-1.921-1.198-0.006-0.24-2.16-2.402-2.151</f>
        <v>12.842999999999993</v>
      </c>
      <c r="F456" s="25">
        <v>137500</v>
      </c>
    </row>
    <row r="457" spans="1:6">
      <c r="A457"/>
      <c r="B457" s="30">
        <v>20</v>
      </c>
      <c r="C457" s="30" t="s">
        <v>844</v>
      </c>
      <c r="D457" s="30" t="s">
        <v>233</v>
      </c>
      <c r="E457" s="53">
        <f>4.03-0.515-0.255-1.005-0.26-0.25-0.505-1.265+0.025+1.32-1.37+0.05</f>
        <v>1.8041124150158794E-16</v>
      </c>
      <c r="F457" s="25">
        <v>137500</v>
      </c>
    </row>
    <row r="458" spans="1:6">
      <c r="A458"/>
      <c r="B458" s="30" t="s">
        <v>234</v>
      </c>
      <c r="C458" s="30" t="s">
        <v>844</v>
      </c>
      <c r="D458" s="30" t="s">
        <v>233</v>
      </c>
      <c r="E458" s="53">
        <f>3.54+0.49-3.01-0.53-0.23+7.56-0.292+0.032-2.712-1.08-0.258-1.02</f>
        <v>2.4900000000000007</v>
      </c>
      <c r="F458" s="25">
        <v>152000</v>
      </c>
    </row>
    <row r="459" spans="1:6">
      <c r="A459"/>
      <c r="B459" s="30">
        <v>20</v>
      </c>
      <c r="C459" s="30" t="s">
        <v>187</v>
      </c>
      <c r="D459" s="30" t="s">
        <v>233</v>
      </c>
      <c r="E459" s="53">
        <f>1.16+3.57-1.16-0.6-2.375-0.298-0.3+0.003+2.71+2.44-0.27-0.8-0.82-0.815-1.075-1.37+3.86+3.89+2.85-1-1-0.285-0.285-0.81-2.785-3.89-0.265-0.295+0.015+1.38+3.52-0.83-1.365-0.276-0.82-0.54-0.28-0.274-0.54+0.025+1.66+4.16+4.29-1.66-1.108-0.285-0.56-0.562-0.28-1.372-1.175-1.715-0.284-0.19-0.945+0.026+15.926+3.843-1.095-1.922-1.105-3.015-1.107-3.027-1.922-4.668+0.013-0.55+2.138+2.145+2.126+2.136+2.134+2.135+2.142+2.145+2.131+0.301+0.544-1.371-0.61-2.135-0.301-0.544-0.305-2.126-1.526-0.61-0.31-0.906-0.305-1.225-2.145-2.145-0.31-0.298-0.61-0.314-0.911-0.002-0.92+19.788-0.305-1.214-0.282-5.223-0.278-4.132-2.206-0.276-1.368-1.1-1.94+3.817-1.592+36.002-0.32-0.642-0.315-0.32-1.581-0.307-0.008-0.95-0.638-1.575-0.95-0.277-0.315-0.63-17.031-0.276-0.947-0.83-1.265-0.635-0.32-0.308-2.212-2.222-0.825-0.315+9.739+10.856-0.63-9.389-0.542-1.355-0.27-0.27-0.54-0.539-1.62-0.545-0.321-0.546-0.318+0.014-0.54-2.701-0.27-0.545+21.125-1.355</f>
        <v>24.633999999999997</v>
      </c>
      <c r="F459" s="25">
        <v>137500</v>
      </c>
    </row>
    <row r="460" spans="1:6">
      <c r="A460"/>
      <c r="B460" s="30" t="s">
        <v>234</v>
      </c>
      <c r="C460" s="30" t="s">
        <v>187</v>
      </c>
      <c r="D460" s="30" t="s">
        <v>233</v>
      </c>
      <c r="E460" s="53">
        <f>6.71-0.604-1.38-0.55-1.36-0.828-0.832-0.56-0.6+0.004+2.75+3.69-2.75-3.69+3.31+2.66-2.943+4.49+3.08+3.07-1.34-1.825-3.08-1.79-1.375+3.31+1.09-0.272-0.099-1.285+0.004-3.31-0.276-1.29+0.01-1.35-0.814+0.025+20.961-1.68-0.276-1.115-0.282-1.721-0.283+22.525-0.286-1.69-3.345-0.558-12.46-10.065-6.125+0.028-1.675+19.866-0.56-0.84-0.553-3.594-5.243-0.276-1.104+20.85+1-4.97-2.697-1.385+1.4+2.64-0.27-0.819-0.552-2.488-17.064-1.495-0.275+0.021+18.835-2.25-0.572-1.4-3.919-0.64-0.75-0.626-1.922-7.674+11.452</f>
        <v>14.079000000000004</v>
      </c>
      <c r="F460" s="25">
        <v>152000</v>
      </c>
    </row>
    <row r="461" spans="1:6">
      <c r="A461"/>
      <c r="B461" s="30">
        <v>20</v>
      </c>
      <c r="C461" s="30" t="s">
        <v>790</v>
      </c>
      <c r="D461" s="30" t="s">
        <v>233</v>
      </c>
      <c r="E461" s="53">
        <f>2.57+2.6-0.64+0.65+4.2-1.93-2.6-0.676-0.36-2.138-0.33-0.338+2.67+2.31-0.382+0.71+4.22-0.77-0.376-0.355-0.382-2.135-1.78-0.333-2.31-0.017-0.305-0.05-0.31-0.71-0.774+0.031+0.05-0.01+0.35-0.35+4.05+3.67-0.815+3.972+3.967+3.983+0.79+3.968+3.976-0.405-0.405-1.6-1.195-0.79-3.983-2.025-3.67-1.59-0.39-0.395-1.977-0.008-0.415-0.373-0.032+20.21-0.814-0.4-0.4-3.967-1.2-1.936-0.049-0.404-0.404-12.542-0.404-0.41-0.408-1.628-0.405+0.049-0.408-0.812-0.408+4.24+4.228+4.232+4.25+4.22-0.406-0.42-0.425-2.14-1.255-0.43-0.43-0.42-0.41+20.099-2.115-0.414-0.425-0.408-1.69-1.28-1.68-0.805-1.27-0.805-0.405-0.4-2.115-1.267-0.405-0.405-16.256-0.805-0.805-0.405-0.405+0.067-0.405-1.205+3.64+4.041+13.342-0.405-0.376-0.41-0.41-4.041-1.215-0.405-1.61-0.406-0.41-6.077-0.807-0.81+0.02-0.406-0.806-0.811+20.049-0.407-0.393-0.4-1.605-0.4-0.41-1.604-0.4</f>
        <v>16.460999999999995</v>
      </c>
      <c r="F461" s="25">
        <v>137500</v>
      </c>
    </row>
    <row r="462" spans="1:6">
      <c r="A462"/>
      <c r="B462" s="30">
        <v>20</v>
      </c>
      <c r="C462" s="30" t="s">
        <v>791</v>
      </c>
      <c r="D462" s="30" t="s">
        <v>233</v>
      </c>
      <c r="E462" s="53">
        <f>4.09+3.28-0.407+0.82-0.82-0.408-0.82-1.226-2.46-0.412-0.408+2.44+2.43+0.38-0.805-2.43-0.01-0.409-0.82-1.625-0.38+3.78+3.39-1.266-0.426-0.43-0.845-0.844-0.813-2.546+3.5+3.04+2.33+1.52+0.39-1.175-1.175-0.355-1.52-0.355+0.02-1.175-3.5-0.375-0.79+0.01-0.39+0.7+1.63+2.13+0.42-0.875-1.63-1.255-0.43+0.01-0.7+17.023+2.846-1.9-0.955-2.845-3.311-1.89-0.95-2.845-0.48+4.83+4.835+4.83+4.831+1.929-2.378-3.39-1.929-1.44-1.451-4.835-0.467+0.043-2.405+4.743+4.743+4.738+4.725+1.891-2.415-0.48-1.891-1.935-0.48-0.014-0.481-0.945-0.48-0.96-3.295-9.006+2.972+4.32+4.348+3.894-2.972-0.475-1.9-0.938-1.448-0.457-0.48-3.894+20.772-1.42-0.465-0.875-0.43-4.716-4.724-4.727-3.78-0.065-0.875-2.155-0.456-1.295-2.175+21.176-1.451-1.298-0.478-0.49-0.44-1.45-0.965-0.965-0.48-1.93-1.45-1.412-0.022-1.45-2.392-0.919-0.988-4.334+20.739-1.21-4.023-0.405+0.475+18.811-4.265+0.937-3.496-0.937-0.475-0.95-4.235-0.475-0.468-0.15-0.294-0.501-3.296-10.275-0.799-0.47-0.945-3.293+21.201</f>
        <v>21.200999999999986</v>
      </c>
      <c r="F462" s="25">
        <v>137500</v>
      </c>
    </row>
    <row r="463" spans="1:6">
      <c r="A463"/>
      <c r="B463" s="30">
        <v>20</v>
      </c>
      <c r="C463" s="30" t="s">
        <v>454</v>
      </c>
      <c r="D463" s="30" t="s">
        <v>233</v>
      </c>
      <c r="E463" s="53">
        <f>1.599-0.396+2.44+2.86-0.41-0.42-0.82-1.225-0.4-1.23-0.8-0.009-0.79-0.426+0.027+2.43+1.85-2.018-0.74+2.65+2.6-2.2+4.95-0.83-0.835-1.245-0.44+3.195+2.81-1.63-0.408-2.04-0.45-2.16-2.81-1.6+0.035-1.104-0.01+2.63+2.62-2.2-0.43-0.02-0.445-1.315+3.849+3.854+3.857+3.852+2.199+3.862-0.565-1.1-1.105-3.849-0.55-1.105-1.655-2.21-2.199-3.862-0.537-0.018-0.55-0.539-0.016-0.555-0.555+3.773+3.78+3.768+3.766+3.765+4.64+4.638+2.779+4.64+3.765-0.84-0.585+0.082-4.64-0.93-4.638-2.779-0.46-1.61-0.54-1.063+4.064+4.092+4.082+4.078-0.585-0.1-0.46-0.58-2.32-0.585-1.47-2.155-13.999-1.08-1.745-1.07-1.185-0.59-0.6-4.082-0.6-1.76-1.18+18.823-1.075-1.615-1.07-0.013-0.527-1.08</f>
        <v>16.266999999999996</v>
      </c>
      <c r="F463" s="25">
        <v>137500</v>
      </c>
    </row>
    <row r="464" spans="1:6">
      <c r="A464"/>
      <c r="B464" s="30">
        <v>20</v>
      </c>
      <c r="C464" s="30" t="s">
        <v>455</v>
      </c>
      <c r="D464" s="30" t="s">
        <v>233</v>
      </c>
      <c r="E464" s="53">
        <f>5.748-0.018-0.416+0.016-1.33+0.175-0.45-0.45-0.175-0.442-0.89-0.895-0.438-0.014+2.62+3.04-0.45+0.029-0.435-0.44-0.435-0.875-0.44-2.18-0.875+0.02+4.84+0.45-0.88+4.1-0.45-1.32-0.465-0.46-0.45-0.892-0.915-0.927-0.935+0.034-1.32-0.435+0.025+4.353+4.365+2.494+4.367+4.352-0.625-0.625-1.87-0.625-0.625-0.017-0.608-1.875-0.63-0.63-1.88-1.215-0.035-1.25-2.494-1.25-0.575-1.305-1.25-0.625+0.078+20.458+7.975-0.62-0.62-0.62-0.62-0.455-0.455-0.95</f>
        <v>24.092999999999993</v>
      </c>
      <c r="F464" s="25">
        <v>137500</v>
      </c>
    </row>
    <row r="465" spans="1:6">
      <c r="A465"/>
      <c r="B465" s="30">
        <v>20</v>
      </c>
      <c r="C465" s="30" t="s">
        <v>456</v>
      </c>
      <c r="D465" s="30" t="s">
        <v>233</v>
      </c>
      <c r="E465" s="53">
        <f>9.082-1.445-0.45-1.465-0.97-1.465+0.03-1.33+0.018-2.005+2.9+2.89+3.095+2.035-1.445-0.966-1.44-0.005-0.525-0.005-2.59+0.02-1.935-2.035+0.006+5.68-0.596-1.13-0.572-0.525-2.88+0.023+14.381+2.052+3.425-0.69-0.69-0.69-0.69-0.665-0.025-0.68-0.68-0.69-0.68+0.013-1.375-7.56-4.82+0.064+4.066+4.08+2.324-0.59-2.33-1.75-1.735-1.18-0.595+1.455+5.72+1.575-0.561-1.779+0.05+5.484-0.69-0.52-1.995-0.69-2.425-0.48</f>
        <v>7.4340000000000046</v>
      </c>
      <c r="F465" s="25">
        <v>137500</v>
      </c>
    </row>
    <row r="466" spans="1:6">
      <c r="A466"/>
      <c r="B466" s="30">
        <v>20</v>
      </c>
      <c r="C466" s="30" t="s">
        <v>457</v>
      </c>
      <c r="D466" s="30" t="s">
        <v>233</v>
      </c>
      <c r="E466" s="53">
        <f>8.715-0.58-0.577-1.15-0.58-0.548-0.032-0.56+0.032+5.13+4.66+4.14-4.66-0.52-0.58-3.62-0.59-4.72-3.96+4.91-1.97-0.5-1.96-0.48+5.085+4.47-4.47-3.95-0.57-0.565-0.005+0.005+10.094-10.028-0.066+4.704+3.355+4.705+4.705+4.7-0.685-4.7-0.68-4.704-4.705-2.695-0.645-0.03+4.58+4.573-3.05+3.048+9.17-0.765-0.765-4.573-1.35-0.765-4.599-4.571-2.283-0.675+3.018+3.022+3.023+3.021+3.022+3.023+3.023-3.018-1.52-0.675-0.76-3.023-1.513-1.508-3.022-3.023-0.742+20.224-1.45-1.572-2.896-2.165-2.874-3.599-3.62-3.628-0.001-0.001-1.441-0.675+0.05+6.986+1.408+4.235+4.209-4.895+4.426+4.432+4.424+4.422+2.961-0.23-0.74-1.48-1.408-4.235-4.209-1.48-2.207-0.74+2.207-1.475-1.48-0.74-2.961-0.74-1.48-0.74-0.705-0.724-0.016-0.74-6.331+0.029+0.017</f>
        <v>-5.5892790395972725E-15</v>
      </c>
      <c r="F466" s="25">
        <v>137500</v>
      </c>
    </row>
    <row r="467" spans="1:6">
      <c r="A467"/>
      <c r="B467" s="30">
        <v>20</v>
      </c>
      <c r="C467" s="30" t="s">
        <v>458</v>
      </c>
      <c r="D467" s="30" t="s">
        <v>233</v>
      </c>
      <c r="E467" s="53">
        <f>6.72-0.592-1.1-0.575-1.66-1.675-0.61-0.525-0.03+0.047+6.33-0.535-2.16-0.505-2.11+4.735-1.775-0.6-0.615-1.05+0.03-1.765+0.02+2.69+2.68-2.69-2.235+2.88+2.88-1.728-1.145-1.152-1.735-0.445+5.4+4.776-0.68-2.02+0.685-0.07-0.685-2.015-1.365+4.29-0.615-0.69-3.205-1.085-1.35+12.817-0.806+7.975-0.8-0.805-0.8-1.604-1.475-0.8-0.81-0.8-0.8-0.803-0.803-0.81-2.4-4.095-0.571+3.82+1.61-0.806+11.216</f>
        <v>19.020999999999994</v>
      </c>
      <c r="F467" s="25">
        <v>156000</v>
      </c>
    </row>
    <row r="468" spans="1:6">
      <c r="A468"/>
      <c r="B468" s="30">
        <v>20</v>
      </c>
      <c r="C468" s="30" t="s">
        <v>459</v>
      </c>
      <c r="D468" s="30" t="s">
        <v>233</v>
      </c>
      <c r="E468" s="53">
        <f>1.723+4.38+1.18-1.18+0.005-4.38-1.168-0.012-0.566+0.018+4.865-0.61-1.23-0.605+4.815-0.605-1.84+0.025-0.6-0.61-1.225+1.165-1.165-2.43+0.05+3-1.215-1.795+0.01+5.527-2.77-0.695-2.047-0.015+3.39+1.8-3.39-1.3-0.5+4.095+4.09-2.045-0.687-0.685-1.365-1.38-0.682-0.692-0.665+0.016+10.218-0.306+15.622-0.785-0.8-0.79-0.785+5.135+5.81-1.52-3.85-0.795-0.65-0.635-0.65-0.306-0.786-0.645-0.645-0.785</f>
        <v>22.052</v>
      </c>
      <c r="F468" s="25">
        <v>146000</v>
      </c>
    </row>
    <row r="469" spans="1:6">
      <c r="A469"/>
      <c r="B469" s="30">
        <v>20</v>
      </c>
      <c r="C469" s="30" t="s">
        <v>1065</v>
      </c>
      <c r="D469" s="30" t="s">
        <v>233</v>
      </c>
      <c r="E469" s="53">
        <f>5.19-0.74-2.225-2.225</f>
        <v>0</v>
      </c>
      <c r="F469" s="25">
        <v>147500</v>
      </c>
    </row>
    <row r="470" spans="1:6">
      <c r="A470"/>
      <c r="B470" s="30">
        <v>20</v>
      </c>
      <c r="C470" s="30" t="s">
        <v>460</v>
      </c>
      <c r="D470" s="30" t="s">
        <v>233</v>
      </c>
      <c r="E470" s="53">
        <f>2.7+2.7-0.455-0.45-0.46+4.695+0.785-2.26+0.02-0.785-2.35-0.78+5.4-0.9-0.775-1.19-2.026-0.91-1.565-1.422+0.015+0.013+1.765+2.41-2.41-1.165-0.6+5.557-0.685-0.685-2.06-0.698-0.681-0.691-0.057+8.38-2.38-1.8-1.815+10.385-0.6-2.1-2.09-3.11+3.745+1.5-1.04-1.034-0.75-0.603-0.745-0.605-2.25-0.605+0.028</f>
        <v>2.5110000000000063</v>
      </c>
      <c r="F470" s="25">
        <v>156000</v>
      </c>
    </row>
    <row r="471" spans="1:6">
      <c r="A471"/>
      <c r="B471" s="30">
        <v>20</v>
      </c>
      <c r="C471" s="30" t="s">
        <v>1066</v>
      </c>
      <c r="D471" s="30" t="s">
        <v>233</v>
      </c>
      <c r="E471" s="53">
        <f>4.835-0.795</f>
        <v>4.04</v>
      </c>
      <c r="F471" s="25">
        <v>156000</v>
      </c>
    </row>
    <row r="472" spans="1:6">
      <c r="A472"/>
      <c r="B472" s="30">
        <v>20</v>
      </c>
      <c r="C472" s="30" t="s">
        <v>992</v>
      </c>
      <c r="D472" s="30" t="s">
        <v>233</v>
      </c>
      <c r="E472" s="53">
        <f>5.8+4.625-0.825-0.835-2.485-0.82-0.835-0.775</f>
        <v>3.850000000000001</v>
      </c>
      <c r="F472" s="25">
        <v>156000</v>
      </c>
    </row>
    <row r="473" spans="1:6">
      <c r="A473"/>
      <c r="B473" s="30">
        <v>20</v>
      </c>
      <c r="C473" s="30" t="s">
        <v>461</v>
      </c>
      <c r="D473" s="30" t="s">
        <v>233</v>
      </c>
      <c r="E473" s="53">
        <f>5.194-1.215-1.22-0.6-0.48-0.608-0.617-0.028-0.447+0.021+2.77+2.76-0.692-1.395-0.7-0.696-0.692+5.445-0.683-0.007-0.905-0.91-1.815-0.91-0.92+0.015-0.695+0.03+2.195+1.515+1.79-1.79-0.71-0.705-1.515+4.8+4.67-2.395-3.15-1.605-1.52-0.81+0.03-0.82+0.02+6.775-0.67-0.67-0.68-2.685-0.674-0.685+3.24-0.682-0.029+2.435+2.45-0.815-1.61-0.815-0.815-0.815-2.435-0.015-0.805-0.015+0.015+6.23+3.9-2.75-3.48-2.75-0.94-0.21+5.176+5.266+5.148-0.2-3.13-1.045</f>
        <v>11.215000000000002</v>
      </c>
      <c r="F473" s="25">
        <v>156000</v>
      </c>
    </row>
    <row r="474" spans="1:6">
      <c r="A474"/>
      <c r="B474" s="30">
        <v>20</v>
      </c>
      <c r="C474" s="30" t="s">
        <v>792</v>
      </c>
      <c r="D474" s="30" t="s">
        <v>233</v>
      </c>
      <c r="E474" s="53">
        <f>3.21+1.13-0.645-0.325-0.162-0.314-1.12-0.162-0.164-0.16-0.324-0.496-0.16-0.325+0.017+3.48+3.505+3.49+3.47+3.48-0.385-0.2-0.395-0.585-0.195-1.17-3.48-0.205-0.765-0.975-1.55-0.37-0.39-0.18-0.195-1.96-0.2-0.935-0.195-2.545-0.35-0.2+10.798-0.22-6.048-0.21-0.65-0.22-0.22-0.22-0.435-0.225-0.412-0.018-0.87-0.22-0.244-0.422-0.194+0.03+10.903-3.28-0.22-1.1-0.22-0.225-0.225-0.225-0.225-0.225-0.22-0.45-0.215-0.22-0.225-0.225-1.74-0.225-0.225</f>
        <v>1.212999999999999</v>
      </c>
      <c r="F474" s="25">
        <v>161000</v>
      </c>
    </row>
    <row r="475" spans="1:6">
      <c r="A475"/>
      <c r="B475" s="30" t="s">
        <v>234</v>
      </c>
      <c r="C475" s="30" t="s">
        <v>792</v>
      </c>
      <c r="D475" s="30" t="s">
        <v>233</v>
      </c>
      <c r="E475" s="53">
        <v>0</v>
      </c>
      <c r="F475" s="25">
        <v>168000</v>
      </c>
    </row>
    <row r="476" spans="1:6">
      <c r="A476"/>
      <c r="B476" s="30">
        <v>20</v>
      </c>
      <c r="C476" s="30" t="s">
        <v>462</v>
      </c>
      <c r="D476" s="30" t="s">
        <v>233</v>
      </c>
      <c r="E476" s="53">
        <f>4.43-0.236-0.235-0.24-0.236-0.7-0.47-1.39-0.213-0.262-0.473+0.025+2.8+2.35-0.212-0.216-0.65-0.855-0.43-0.43+0.013+1.05-0.645-0.21-1.5+1.02+2.14-0.43-0.415-0.21-0.41-0.005-0.39-0.01-0.218-0.007-1.075-0.214-0.22-0.22-0.215-0.205+0.019+2.452+2.468+1.466+2.446+2.451+2.448+2.448+2.447+2.448-0.98-0.245-0.25-0.245-0.728-0.25-0.245-0.245-0.245-0.245-0.74-0.25-0.227-0.25-1.5-0.25-0.49-0.245-0.245-0.981-0.245-0.241-1.465-0.25-0.49-0.245-0.245-0.228-1.716-2.448-1.264-0.245-0.245-2.447-0.486+0.042+15.401-1.91-0.485+0.47+2.178+2.899-1.206-0.242-2.178-2.899-0.238-0.488-0.725-0.971-0.236-0.24-0.251-0.245</f>
        <v>8.6340000000000003</v>
      </c>
      <c r="F476" s="25">
        <v>147500</v>
      </c>
    </row>
    <row r="477" spans="1:6">
      <c r="A477"/>
      <c r="B477" s="30" t="s">
        <v>234</v>
      </c>
      <c r="C477" s="30" t="s">
        <v>462</v>
      </c>
      <c r="D477" s="30" t="s">
        <v>233</v>
      </c>
      <c r="E477" s="53">
        <f>0.48-0.48</f>
        <v>0</v>
      </c>
      <c r="F477" s="25">
        <v>161000</v>
      </c>
    </row>
    <row r="478" spans="1:6">
      <c r="A478"/>
      <c r="B478" s="30">
        <v>20</v>
      </c>
      <c r="C478" s="30" t="s">
        <v>463</v>
      </c>
      <c r="D478" s="30" t="s">
        <v>233</v>
      </c>
      <c r="E478" s="53">
        <v>0</v>
      </c>
      <c r="F478" s="25">
        <v>156000</v>
      </c>
    </row>
    <row r="479" spans="1:6">
      <c r="A479"/>
      <c r="B479" s="30">
        <v>20</v>
      </c>
      <c r="C479" s="30" t="s">
        <v>464</v>
      </c>
      <c r="D479" s="30" t="s">
        <v>233</v>
      </c>
      <c r="E479" s="53">
        <f>40.923-0.335-5.099-0.68-1.697-2.379-0.34-0.343-3.391-1.36+2.825+0.355-0.685-0.345+5.3+1.78-0.34-1.705-10.208-4.435-0.355-1.78-5.441-2.825-5.3-1.005-0.66-0.2+0.052-0.327+12.448+7.103-5.046-3.039-4.068-3.035-3.731-0.34+19.936-5.072-1.365-0.335-5.065-0.312+0.02-3.043-4.392-0.334+20.001-0.95-0.315-0.012-1.878-0.315-0.94-2.187-0.33-0.63-1.56-0.315-5.303-0.63-0.315-0.315+5.161+15.129-0.315-0.315-0.315-12.39-2.408-0.345-0.284-0.061-0.345-0.345-1.72+20.076-3.69-4.351-0.335-0.335-3.342-0.34-0.279-0.066-2.005-11.182+0.066</f>
        <v>-7.8270723236073536E-15</v>
      </c>
      <c r="F479" s="25">
        <v>156000</v>
      </c>
    </row>
    <row r="480" spans="1:6">
      <c r="A480"/>
      <c r="B480" s="30" t="s">
        <v>234</v>
      </c>
      <c r="C480" s="30" t="s">
        <v>464</v>
      </c>
      <c r="D480" s="30" t="s">
        <v>233</v>
      </c>
      <c r="E480" s="53">
        <f>0.201+0.815+0.199-0.406-0.186-0.202-0.201-0.199+1.24+3.45-0.21+0.26+0.5-0.5+2.24+2.78+0.57-0.676-0.26-1.03-2.24-2.78-0.284-0.685-0.7-0.285-0.001-0.001-0.351-0.02+2.339+2.333+2.672+2.342+2.342+1.998+2.016+2.338+0.308+0.307-1.34-0.355-0.34-0.335-2.342-1.998-2.338-2.333-1.68-2.339-2.342-0.335+18.764-2.018-2.362-0.308+1.339-0.335-0.322-0.001-0.307-7.017-0.688-1.339-0.7-6.726+0.017+0.047+19.883-2.326-2.321-2.327-0.995-2.322-0.29-0.33-1.33-1.657+19.969-0.335+20.052-0.335-0.67-0.335-0.335-0.335-0.335-0.335-1.664-0.336-0.34-0.34-0.335-1.327-1.66-0.335-2.338-0.322-0.333-0.002-16.038-0.333-0.002-0.67-0.66-0.01-3.994-0.67-0.335-0.335-0.283-0.052-1.005</f>
        <v>9.2719999999999843</v>
      </c>
      <c r="F480" s="25">
        <v>161000</v>
      </c>
    </row>
    <row r="481" spans="1:6">
      <c r="A481"/>
      <c r="B481" s="30">
        <v>20</v>
      </c>
      <c r="C481" s="30" t="s">
        <v>793</v>
      </c>
      <c r="D481" s="30" t="s">
        <v>233</v>
      </c>
      <c r="E481" s="53">
        <v>0</v>
      </c>
      <c r="F481" s="25">
        <v>147500</v>
      </c>
    </row>
    <row r="482" spans="1:6">
      <c r="A482"/>
      <c r="B482" s="30">
        <v>20</v>
      </c>
      <c r="C482" s="30" t="s">
        <v>794</v>
      </c>
      <c r="D482" s="30" t="s">
        <v>233</v>
      </c>
      <c r="E482" s="53">
        <f>3.215-1.435-1.06-0.385-0.355+0.02+1.95+3.11-0.78-0.39-0.392-1.555-0.386-0.002-0.782+0.78-0.388+4.36-0.725-0.392-0.78+0.007-0.38-0.36-2.565-0.365+0.035+3.54+1.42-1.42-0.356-0.356-0.356-0.358-1.068-0.352-0.36-0.355+0.021+2.48+2.48-0.355-1.415-1.065-0.715-0.71-0.36+20.82-0.346-0.356-0.35-0.355+0.015-4.515-1.735-0.352-1.39-0.355-1.047-0.691-0.345-0.352-0.348-0.698-0.35-4.525-0.696-0.354-1.056+20.57-0.346-0.369-1.52-1.143-0.003-0.705+0.092-0.411-0.415-1.245-2.892-0.418-0.415-0.402-0.001-0.83-0.415-2.666-1.237-0.405-0.833-0.415-0.83+3.26+3.56+0.3+2.63-0.815-0.417-0.415-3.26-2.63-0.415-0.647+21.499-0.41-1.3-0.656-2.06-0.415-1.228-0.415</f>
        <v>19.870999999999999</v>
      </c>
      <c r="F482" s="25">
        <v>147500</v>
      </c>
    </row>
    <row r="483" spans="1:6">
      <c r="A483"/>
      <c r="B483" s="30">
        <v>20</v>
      </c>
      <c r="C483" s="30" t="s">
        <v>465</v>
      </c>
      <c r="D483" s="30" t="s">
        <v>233</v>
      </c>
      <c r="E483" s="53">
        <f>5.4-1.26-1.27-0.42-1.265+2.91+2.03+2.8+2.46-0.415-0.42-0.01-0.456-0.415+0.075-0.815-0.807-0.406-0.405-0.404-0.4-0.402-0.398-0.402-0.021-0.024-0.36-0.805-0.806-0.394-0.4-0.798-0.45-0.435-0.812+3.465+3.472+3.474+3.474+1.986-0.99+3.942-3.942-3.465-3.472-3.474-3.474-0.996+3.941+3.941+3.443+3.442+3.451+3.446-0.495-1.98-0.99-2.96-3.443-3.442-3.451-3.446-0.486-0.014-0.495-0.495+0.033+19.697-19.697+5.016+4.632+4.624+4.16+4.622-4.624+18.592-0.455-0.49-2.926-1.938-3.432-0.501-0.985-0.49-0.484-0.006-0.487-0.45-0.021-0.469</f>
        <v>23.888000000000005</v>
      </c>
      <c r="F483" s="25">
        <v>147500</v>
      </c>
    </row>
    <row r="484" spans="1:6">
      <c r="A484"/>
      <c r="B484" s="30">
        <v>20</v>
      </c>
      <c r="C484" s="30" t="s">
        <v>466</v>
      </c>
      <c r="D484" s="30" t="s">
        <v>233</v>
      </c>
      <c r="E484" s="53">
        <f>9.463-0.044-1.31-2.546-0.776-0.78-0.408-0.394-0.83-0.002-0.43-0.458+0.054-0.776-0.398-0.002-0.395+0.032+3.409+3.976+0.555+3.989+3.984+3.963-1.71-2.85-1.126-0.014-0.57-1.715-2.269-0.011-1.14-1.14-0.57-1.139-0.57-0.57-0.555+10.156-0.57-1.14-0.534-0.036-1.7+0.053-0.532-0.536-0.532-1.07-0.536-0.536-0.532-0.56-0.53</f>
        <v>4.7919999999999989</v>
      </c>
      <c r="F484" s="25">
        <v>147500</v>
      </c>
    </row>
    <row r="485" spans="1:6">
      <c r="A485"/>
      <c r="B485" s="30">
        <v>20</v>
      </c>
      <c r="C485" s="30" t="s">
        <v>467</v>
      </c>
      <c r="D485" s="30" t="s">
        <v>233</v>
      </c>
      <c r="E485" s="53">
        <f>3.19+3.805+0.93-1.825-0.915-0.455+0.005-0.93-0.965-0.952+0.44+3.97-0.477-0.937-0.44-0.488+0.014-0.444-1.338-0.44-0.445-1.325+0.022+4.87+5.3-0.975-0.965-0.965-0.485-1.93+0.02+5.19-2.38-0.465-0.5-0.51-0.97-0.505-2.385-2.41+0.065+5.022-2.98-0.496-1.493-0.053+3.213+4.493+4.517+4.491+4.516-0.66-0.645-0.635-4.517-0.645-4.493-2.566-0.645+21.306-3.213-1.29-2.59-4.523-6.458-2.585-0.645-0.65-2.59-1.3+0.035+21.174-0.65+4.038+4.05+4.064+4.04-1.155-0.635-0.005-1.16-0.59-1.925-0.58-1.29-2.34-0.65-1.16-0.585-2.33-1.125-0.045-0.563-1.165-2.565-1.165-0.529-0.056-0.59-0.631-0.553-0.037-0.642-0.585+0.121-0.635-0.636</f>
        <v>12.831</v>
      </c>
      <c r="F485" s="25">
        <v>147500</v>
      </c>
    </row>
    <row r="486" spans="1:6">
      <c r="A486"/>
      <c r="B486" s="30">
        <v>20</v>
      </c>
      <c r="C486" s="30" t="s">
        <v>468</v>
      </c>
      <c r="D486" s="30" t="s">
        <v>233</v>
      </c>
      <c r="E486" s="53">
        <f>4.305-0.53-0.546-0.552-0.534-0.545-0.548-1.09+0.04+5.24+0.495-1.57-0.53-0.495-0.53-0.53-0.54-0.535-0.53-0.53+0.055+5.304-0.53-0.535-0.53-1.595-0.53-0.525+4.903+4.898+0.697+4.909+4.899-0.705-0.705-0.538-0.53+0.009-0.697-0.71-0.71-0.705-4.898-0.705-0.71-0.705-0.71-0.705-0.7-2.064-0.056-0.705-1.378-0.032-0.705-0.705-0.705+5.17-0.75-0.591-0.114+4.92-0.735-0.74-2.193-0.553-0.554</f>
        <v>4.4510000000000032</v>
      </c>
      <c r="F486" s="25">
        <v>156000</v>
      </c>
    </row>
    <row r="487" spans="1:6">
      <c r="A487"/>
      <c r="B487" s="30">
        <v>20</v>
      </c>
      <c r="C487" s="30" t="s">
        <v>469</v>
      </c>
      <c r="D487" s="30" t="s">
        <v>233</v>
      </c>
      <c r="E487" s="53">
        <f>5.267+3.22+3.75+3.21-0.535-0.535-3.215-3.21-2.13-4.152-1.136+0.012+0.009-0.535+3.33+2.76-3.33-2.76-0.02+4.95-4.95+4.24+3.025+2.415+1.5-0.605-4.24-1.5-1.22-1.21+2.98-0.5+2.97-0.49+0.46+4.26-1.22-0.595-0.01+7.95+0.009+7.815-2.488-0.625-0.62-0.623-0.495+0.013-1.207-0.61-4.78-7.95+0.03+0.04-0.495-0.009-1.002-4.26-0.505+0.017+4.705-0.005+5.38+4.845+4.156-0.46-5.38-0.595-1.165-0.59-0.59-0.575-4.156-2.365-3.695+0.01+0.015+4.649+4.652+1.545+4.652+4.64+4.649+4.666+4.643+4.649+2.327-1.555-4.649-0.772-0.008-0.78-1.55-1.55-4.652+4.382+4.394+4.388+3.752-1.545-0.78-1.56+20.162-0.78-0.78-3.097-4.666-0.78-3.103-1.56-2.33-1.835-4.388-0.625-0.78-1.545-0.65-0.78-4.394-1.885-0.775-0.77-0.005-1.55-0.766-0.014-1.55-0.758-0.022-0.755-0.025</f>
        <v>17.780999999999977</v>
      </c>
      <c r="F487" s="25">
        <v>147500</v>
      </c>
    </row>
    <row r="488" spans="1:6">
      <c r="A488"/>
      <c r="B488" s="30">
        <v>20</v>
      </c>
      <c r="C488" s="30" t="s">
        <v>1019</v>
      </c>
      <c r="D488" s="30" t="s">
        <v>233</v>
      </c>
      <c r="E488" s="53">
        <f>5.96-1.205-0.603-2.36-0.605-0.605+6.035</f>
        <v>6.6170000000000009</v>
      </c>
      <c r="F488" s="25">
        <v>147500</v>
      </c>
    </row>
    <row r="489" spans="1:6">
      <c r="A489"/>
      <c r="B489" s="30">
        <v>20</v>
      </c>
      <c r="C489" s="30" t="s">
        <v>470</v>
      </c>
      <c r="D489" s="30" t="s">
        <v>233</v>
      </c>
      <c r="E489" s="53">
        <f>13.187-0.668-0.675-0.668+0.035-0.67-0.666-2.65-0.66+4.855-1.27-0.735-0.662+0.047-0.66-1.335-0.654-0.01-3.665-0.02-0.644-0.663+0.046-0.61-0.58-0.005+10.845+4.81+6.84+4.605+3.42-2.06-2.065-0.675-4.13-0.69-0.69-4.605-6.833-4.085-0.685-0.685-0.702-2.637+0.022+4.74+4.75-0.598+2.04+2.02+1.37+4.75+2.018+2.698-4.74-2.37-1.19-0.68-1.37-4.74-0.01-1.365+10.35-3.2-0.68-4.005-1.59-0.675-0.01-1.615+0.06-2.018-2.032-0.68-0.58-0.018+0.03+0.006+4.815+4.825-0.6-0.633-0.608-0.595</f>
        <v>7.8700000000000037</v>
      </c>
      <c r="F489" s="25">
        <v>152500</v>
      </c>
    </row>
    <row r="490" spans="1:6">
      <c r="A490"/>
      <c r="B490" s="30" t="s">
        <v>234</v>
      </c>
      <c r="C490" s="30" t="s">
        <v>470</v>
      </c>
      <c r="D490" s="30" t="s">
        <v>233</v>
      </c>
      <c r="E490" s="53">
        <f>8.065+7.91-1.165-1.18-0.58-3.92-0.575-5.73-2.305-0.59+0.07+4.795-4.795+15.909-0.7+1.98+1.42-3.445-3.415-1.98-0.7-1.379-1.42</f>
        <v>6.2700000000000031</v>
      </c>
      <c r="F490" s="25">
        <v>152500</v>
      </c>
    </row>
    <row r="491" spans="1:6">
      <c r="A491"/>
      <c r="B491" s="30">
        <v>20</v>
      </c>
      <c r="C491" s="30" t="s">
        <v>830</v>
      </c>
      <c r="D491" s="30" t="s">
        <v>233</v>
      </c>
      <c r="E491" s="53">
        <f>1.35+2.72+0.42-0.42-1.35-2.272+4.67-4.67-0.455+0.007+5.515+5.092-0.795</f>
        <v>9.8119999999999994</v>
      </c>
      <c r="F491" s="25">
        <v>156000</v>
      </c>
    </row>
    <row r="492" spans="1:6">
      <c r="A492"/>
      <c r="B492" s="30">
        <v>20</v>
      </c>
      <c r="C492" s="30" t="s">
        <v>471</v>
      </c>
      <c r="D492" s="30" t="s">
        <v>233</v>
      </c>
      <c r="E492" s="53">
        <f>6.305-0.7-1.415-0.665-2.83-0.7+0.005+3.08+1.84-0.62-2.46-1.856+0.016+4.89-0.83-0.815+4.59-0.655-0.656-2.44-0.81+0.005-0.665+4.67-0.652-0.666-3.085-0.805-1.31+0.014-0.8+0.02+5.6+2.474+2.524+4.645-0.855-0.91-0.935-4.665-1.68-0.94-2.795+3.255+3.905+3.12+3.915-0.785+4.675-1.65-0.84-0.785-0.795-1.566-0.78-0.78-0.01-3.13-0.82-0.795+0.01-3.14-0.845-0.785+0.016+0.021-1.55+0.015+7.4+3.112-0.794-2.1-1.055-0.785-1.02-0.005-1.08+5.774-0.805-2.1-0.84-0.815-0.84-1.065-1.09-0.063-0.997+10.424-0.835-0.835-1.91-0.825-0.76-0.94-0.94-0.95-0.95</f>
        <v>4.6500000000000021</v>
      </c>
      <c r="F492" s="25">
        <v>160000</v>
      </c>
    </row>
    <row r="493" spans="1:6">
      <c r="A493"/>
      <c r="B493" s="30">
        <v>20</v>
      </c>
      <c r="C493" s="30" t="s">
        <v>1067</v>
      </c>
      <c r="D493" s="30" t="s">
        <v>233</v>
      </c>
      <c r="E493" s="53">
        <f>5.75-1.705-3.27-0.775+5.282-1.065-4.217+22.512</f>
        <v>22.512</v>
      </c>
      <c r="F493" s="25">
        <v>169000</v>
      </c>
    </row>
    <row r="494" spans="1:6">
      <c r="A494"/>
      <c r="B494" s="30">
        <v>20</v>
      </c>
      <c r="C494" s="30" t="s">
        <v>472</v>
      </c>
      <c r="D494" s="30" t="s">
        <v>233</v>
      </c>
      <c r="E494" s="53">
        <f>2.9+1.67+0.61-1.67-0.55-0.64-0.61-0.645-0.51+2.23+2.75-0.56-0.56-0.56-1.66+5.46-0.555+4.795-0.915-0.57+0.02-4.09-0.915-0.56-0.915-0.545+0.015-1.825-0.91+0.02-0.73+0.025+7.36+3.273+4.882-0.825-0.815-0.816-0.815-1.61-0.815-0.79-0.038-0.815-0.82-2.448+0.017-0.806-0.815+8.144+2.04-1.02-0.825-0.822-1.02-1.02-1.02-0.005-1.02-3.05-2.029-1.625-0.032+4.206+6.334-1.05-1.065-3.16-1.065-1.06</f>
        <v>3.1400000000000063</v>
      </c>
      <c r="F494" s="25">
        <v>169000</v>
      </c>
    </row>
    <row r="495" spans="1:6">
      <c r="A495"/>
      <c r="B495" s="30">
        <v>20</v>
      </c>
      <c r="C495" s="30" t="s">
        <v>1050</v>
      </c>
      <c r="D495" s="30" t="s">
        <v>233</v>
      </c>
      <c r="E495" s="53">
        <f>3.184+7.386-3.195+0.011+3.184-1.07-1.07</f>
        <v>8.43</v>
      </c>
      <c r="F495" s="25">
        <v>169000</v>
      </c>
    </row>
    <row r="496" spans="1:6">
      <c r="A496"/>
      <c r="B496" s="30">
        <v>20</v>
      </c>
      <c r="C496" s="30" t="s">
        <v>1100</v>
      </c>
      <c r="D496" s="32" t="s">
        <v>930</v>
      </c>
      <c r="E496" s="53">
        <f>0.13</f>
        <v>0.13</v>
      </c>
      <c r="F496" s="102">
        <v>124800</v>
      </c>
    </row>
    <row r="497" spans="1:6">
      <c r="A497"/>
      <c r="B497" s="30">
        <v>20</v>
      </c>
      <c r="C497" s="30" t="s">
        <v>473</v>
      </c>
      <c r="D497" s="30" t="s">
        <v>233</v>
      </c>
      <c r="E497" s="53">
        <f>10.111-0.172-3.566-6.08-0.018+4.996-4.996-0.165+0.07+9.885-0.998+10.38-2.015+0.4-0.16-0.171-0.505-0.496-3.4</f>
        <v>13.100000000000003</v>
      </c>
      <c r="F497" s="25">
        <v>152500</v>
      </c>
    </row>
    <row r="498" spans="1:6">
      <c r="A498"/>
      <c r="B498" s="30" t="s">
        <v>234</v>
      </c>
      <c r="C498" s="30" t="s">
        <v>473</v>
      </c>
      <c r="D498" s="30" t="s">
        <v>233</v>
      </c>
      <c r="E498" s="53">
        <f>10.559-1.505-4.34-0.625-0.16+4.965-1.965-0.775-0.31-1.65+0.02-2.69-0.21-0.46+0.54+0.98+0.46+1.28+0.48+2.23+1.11+0.32+1.09+1.45+1.03-2.23-1.11-1.09-1.45-0.23-0.31-0.09-0.46-0.48-0.32-0.74-0.09-0.074-1.28+0.01-0.125-0.03-0.003-0.01-0.033-0.117-0.152+3.22+3.26+2.57+2.62+2.73-3.22-3.26-2.57-2.62-2.73-0.995+0.105+2.875+0.76-0.76-0.14+0.002-0.21-0.415-0.42+3.17+0.63+2.53+2.38-0.21-0.468+0.87+3.51+0.91+0.98-1.554-0.215+3.26+1.95+3.39+3.37+3.32-1.956-0.91-0.684-0.87-3.26-0.48-0.21-0.296-0.47-0.154-0.162-0.162-1.035-0.46-0.62-0.314-0.154-0.312-0.162-1.58-0.924-0.326-3.37-3.32-0.076-1.232-0.32+0.038-2.53-0.16-0.162-0.32-0.946+1.73+3.24+3.24-0.162-2.268+1.6-0.165-1.73-0.01-0.15-0.002-0.172-0.165-3.09-0.15-0.016-0.79+3.672-0.156-0.632-0.624-0.316-2.102+4.28+0.608+0.285-0.8+0.01-3.17-0.16-0.16+10.057-0.16-1.11-0.03-0.17-0.151-0.164-3.279+0.014-2.785-1.385-0.52-0.15-0.055-0.16-0.172-0.176+0.8+9.626-0.347-0.16-0.176-0.521-0.177-4.53-0.176</f>
        <v>7.7539999999999987</v>
      </c>
      <c r="F498" s="25">
        <v>157500</v>
      </c>
    </row>
    <row r="499" spans="1:6">
      <c r="A499"/>
      <c r="B499" s="31" t="s">
        <v>928</v>
      </c>
      <c r="C499" s="30" t="s">
        <v>158</v>
      </c>
      <c r="D499" s="30" t="s">
        <v>233</v>
      </c>
      <c r="E499" s="53">
        <f>23.608-0.846-0.406-0.365-3.15-0.41+0.025-0.566-1.669-0.564-0.19-0.4-0.206-0.2-0.21-0.2-2.79-1.034-0.97-3.058-0.191-0.2-0.2+2.228+1.336+2.224+2.183+2.193+2.231+2.211+2.225+2.222+2.202-0.666+1.35+0.72+0.68+3.04+1.27+1.245-0.142-1.877-1.168+0.077+19.878-0.376-0.675-0.874-0.68-0.672-0.225-0.22-2.211-2.222-2.202-0.219-0.196-0.22-0.566+1.32+1.38+1-1.973-0.22-2.106-0.595-0.205-0.415-0.2-0.19-1.38-0.23-1.845-0.17-0.775-0.47-0.205-0.445-0.891-2.224-0.445-0.44-0.057-0.123-0.38+0.056-0.196-0.58-0.1-3.078-0.65-4.606+14.82-0.22-2.003-1.328-0.196-0.455-0.196-0.968-0.473-0.18-0.448-0.55-0.388-0.384-0.194-0.576-2.89-0.164-0.196-1.016+13.375+8.026-0.225-1.778-0.67-0.76-0.45-0.2-0.67-0.4-1.385-1.376-1.374-1.372-0.2-0.196-0.211-0.894-1.563-0.895-0.4-0.8-0.17-0.03-0.225-0.558-1.374-0.038-0.225-1.334-0.833-0.978-0.595+0.042-0.195-0.19-0.22-0.195-0.215+0.109-0.196+11.898+7.454-17.431-0.215+1.33-7.545-0.97-6.09-0.13+17.375+9.336-0.215-2.895-1.78-3.789-8.911-3.101-4.027-1.998-0.215+2.74-0.01</f>
        <v>9.4420000000000126</v>
      </c>
      <c r="F499" s="25">
        <v>137500</v>
      </c>
    </row>
    <row r="500" spans="1:6">
      <c r="A500"/>
      <c r="B500" s="30" t="s">
        <v>234</v>
      </c>
      <c r="C500" s="30" t="s">
        <v>1101</v>
      </c>
      <c r="D500" s="32" t="s">
        <v>930</v>
      </c>
      <c r="E500" s="53">
        <f>4.415-1.52-0.21-0.4-0.4-0.41-0.411</f>
        <v>1.0640000000000003</v>
      </c>
      <c r="F500" s="102">
        <v>122000</v>
      </c>
    </row>
    <row r="501" spans="1:6">
      <c r="A501"/>
      <c r="B501" s="30" t="s">
        <v>234</v>
      </c>
      <c r="C501" s="30" t="s">
        <v>158</v>
      </c>
      <c r="D501" s="30" t="s">
        <v>233</v>
      </c>
      <c r="E501" s="53">
        <f>56.658-4.415-0.198+0.198-0.45-2.18-0.215-1.08-1.494-1.5-0.22-0.86-0.4-0.58-1.26-2.109-2.094-2.097-0.794-1.732-0.396-1.872-0.578-0.2-0.645-1.492-1.22-0.847-0.227-2.114-2.095-1.48-1.48-1.479-0.633-0.43+1.05-1.075-0.19-0.21-0.424-0.016-0.86-0.39-1.49-0.4-0.78-0.22-4.856+4.415-0.101-0.095+0.07-0.192+0.129-4.415-0.42-0.2-2.188-0.2-0.771+18.906-1.045-1.245-7.484-0.21-0.418-0.415-0.209-2.488-0.42-3.945</f>
        <v>3.1880000000000064</v>
      </c>
      <c r="F501" s="25">
        <v>141000</v>
      </c>
    </row>
    <row r="502" spans="1:6">
      <c r="A502"/>
      <c r="B502" s="30">
        <v>20</v>
      </c>
      <c r="C502" s="30" t="s">
        <v>1102</v>
      </c>
      <c r="D502" s="32" t="s">
        <v>930</v>
      </c>
      <c r="E502" s="53">
        <f>0.14</f>
        <v>0.14000000000000001</v>
      </c>
      <c r="F502" s="102">
        <v>106000</v>
      </c>
    </row>
    <row r="503" spans="1:6">
      <c r="A503"/>
      <c r="B503" s="30">
        <v>20</v>
      </c>
      <c r="C503" s="30" t="s">
        <v>53</v>
      </c>
      <c r="D503" s="30" t="s">
        <v>233</v>
      </c>
      <c r="E503" s="53">
        <f>14.459-3.382-0.565-0.001-0.139-0.85-0.561-0.279-0.286-1.976-0.85+4.67+4.93-2.795-0.705-0.25-0.235-0.045+0.14-0.94-0.936-0.706+10.148-0.472-0.712-1.176-0.276-0.184-0.708+0.014-2.5-0.14-0.21+0.046+0.231+1.664+1.668+1.661+16.096-0.278-4.71-0.24+1.844+1.849-0.16-0.06-0.265-0.95-0.24-1.661-1.193-0.002-0.707-0.795-0.231+10.215+0.234-2.725-10.215-17.859+0.015-0.798+4.913+10.02-5.927-1.385-1.785-0.79-0.25+0.075-0.29-1.375+0.1+7.119-0.525-1.448+21.951+19.023-0.515-9.516-0.236-0.245-0.98-0.26-0.229-6.823+0.157-1.444-0.52-2.921-0.974-0.501-1.454-2.435-0.765+3.292-0.245-0.49-0.26-1.22</f>
        <v>25.757999999999985</v>
      </c>
      <c r="F503" s="25">
        <v>124000</v>
      </c>
    </row>
    <row r="504" spans="1:6">
      <c r="A504"/>
      <c r="B504" s="30" t="s">
        <v>234</v>
      </c>
      <c r="C504" s="30" t="s">
        <v>53</v>
      </c>
      <c r="D504" s="30" t="s">
        <v>233</v>
      </c>
      <c r="E504" s="53">
        <f>58.881-0.75-0.27-1.455-0.538-11.963-1.22-0.266-0.266-5.77+5.38-1.05-0.155+21.186-2.94-1.22-1.686-0.228-0.837+0.02-15.611-2.677+0.008-0.235-5.827-5.305-0.722-0.67-1.135-0.224-0.016-0.209-0.26-0.67-0.02-21.135+20.219-13.032-3.183-0.552-0.828-2.11-0.53+0.016-0.213+0.133-0.065+20.185+19.208-0.272-0.278-0.26-0.817-17.841-0.5+17.841-1.365-0.735-5.156-1.356-0.272-1.63-1.36-3.782-1.076-3.215+0.006-0.68-0.245-0.005-4.34-0.205-0.69-0.23-1.57-0.226-0.45+0.474+16.777+12.368-0.96-1.21-1.429-0.24-12.16-1.426-0.24-0.23-2.377-0.24-0.95-0.235-0.24-0.23-0.217-0.023+20-15.625-0.258-0.011-0.915-1.494-1.632-0.034-0.918-0.965-4.395+0.024-0.004+5.9-9.16-2.85-1.46-0.235+15.591-0.71-0.24-7.333</f>
        <v>9.1720000000000343</v>
      </c>
      <c r="F504" s="25">
        <v>129000</v>
      </c>
    </row>
    <row r="505" spans="1:6">
      <c r="A505"/>
      <c r="B505" s="30">
        <v>20</v>
      </c>
      <c r="C505" s="30" t="s">
        <v>474</v>
      </c>
      <c r="D505" s="30" t="s">
        <v>233</v>
      </c>
      <c r="E505" s="53">
        <f>27.149-1.943-1.945-1.945-0.544-0.011+1.958+1.96+1.957+1.959+1.953+1.959+1.679+1.958+1.96+1.958+1.953-0.85-1.12-0.565-1.395-1.958-0.823-1.95-0.017-0.288-1.958-1.957-1.959-1.953-1.959-1.96-1.958+2.268+4.536+6.804-2.846+1.95-0.31-0.072-0.303-0.007-1.679-1.394-1.95-0.57-0.286-0.84-0.558-1.948-3.408-3.176-0.28-1.27-0.279-6.804+0.072-2.268-0.17-0.057-0.286-0.29-1.605-0.665+16.606+4.047-0.6-0.314-0.29-0.625-0.315-0.315-0.315-0.938-0.002-0.312-1.563-0.939-0.315-2.194-0.938-0.63-0.94-1.563+5.895+13.492-0.293+0.063-2.955</f>
        <v>25.401000000000003</v>
      </c>
      <c r="F505" s="25">
        <v>125000</v>
      </c>
    </row>
    <row r="506" spans="1:6">
      <c r="A506"/>
      <c r="B506" s="30" t="s">
        <v>234</v>
      </c>
      <c r="C506" s="30" t="s">
        <v>474</v>
      </c>
      <c r="D506" s="30" t="s">
        <v>233</v>
      </c>
      <c r="E506" s="53">
        <f>1.46+6.093+1.395-0.235+4.1+9.98-0.58+1.44-4.06-2.35-0.158-1.395-1.76-0.87-0.86-9.98-0.177+0.022+4.39-0.925+1.79+1.92+2.4-1.622-0.694-0.46-0.81-0.71+2.354+2.324+0.105-0.232-0.462+0.005-1.32-1.79+4.92-1.92-0.27-2.354-2.324-4.92+1.07+4.36+1.14+4.38-4.12+5.405-0.805-0.88-0.278+2.594+2.654+0.278+1.902-3.02+15.735+3.68-0.265-0.28-1.368-0.26-0.035+17.44-1.135-0.2-0.806+0.069-15.756+0.021-11.99-4.36-0.225-2.724-2.594-1.702-0.495+0.07+0.797+2.732+2.714+0.812+2.714+2.719+2.718+2.716+2.729-0.28-2.716-2.729-0.55-2.732-2.719-0.797-2.714-0.812-2.714-1.888-5.27-2.545-1.46+0.315+1.7+4.02+4.6+0.52+2+2.768+2.763+2.189+2.774+2.772+2.766+2.764+2.766-4.02-4.6-1.462-0.28+20.16-0.565-2.22-0.56-0.28-1.648-0.017-1.675-2.764-15.985-0.535-0.526-2.766-2.763-2.189-2.774-4.437-0.52-2-0.276+0.038+0.262+1.7+3.788+24.704+10.297-18.996-1.899+20.414-11.663-0.265+1.3-1.852-1.856-1.59-1.33-0.529-0.265-1.899+0.01-1.061-0.003-0.285-0.544-8.415+3.733-0.623+9.356+11.457-0.007-0.316-0.315-0.315</f>
        <v>32.731000000000016</v>
      </c>
      <c r="F506" s="25">
        <v>142500</v>
      </c>
    </row>
    <row r="507" spans="1:6">
      <c r="A507"/>
      <c r="B507" s="30">
        <v>20</v>
      </c>
      <c r="C507" s="30" t="s">
        <v>162</v>
      </c>
      <c r="D507" s="30" t="s">
        <v>233</v>
      </c>
      <c r="E507" s="53">
        <f>52.178-1.917-0.25-1.237-1.32-0.957-1.848-2.168-0.692-0.93-0.618-0.294-2.173-0.33-0.625-0.608-0.344+0.344-0.935-1.7-5.004-3.018-8.85+2.477+15.927+9.908-28.309-0.965-0.66+0.07-0.692+28.309-0.591-0.615-0.315-0.023-1.238-0.292-0.326+19.749-0.36-0.35-2.201-2.224-0.36-6.768-1+0.54-0.355-0.666-0.665-0.35-2.221-0.331-0.004-0.218-1.662-0.106-0.006-1.648-0.355-2.827-4.567-3.155-3.17-2.122-2.07-0.01-0.31-0.32-3.675-2.11-0.32+0.32-0.905-0.886-0.054+19.372-0.7-2.432-0.705-1.055-1.054-0.32-0.36-0.72-0.36-0.36-1.792-0.35-0.672-0.033-0.705-0.702-1.054-0.001-0.307-0.393-9.471-0.348-0.31-0.086-2.374+9.25-2.12-0.99-0.68-0.003-3.76-0.34-0.65-0.35</f>
        <v>4.6919999999999753</v>
      </c>
      <c r="F507" s="25">
        <v>125000</v>
      </c>
    </row>
    <row r="508" spans="1:6">
      <c r="A508"/>
      <c r="B508" s="30" t="s">
        <v>234</v>
      </c>
      <c r="C508" s="30" t="s">
        <v>162</v>
      </c>
      <c r="D508" s="30" t="s">
        <v>233</v>
      </c>
      <c r="E508" s="53">
        <f>36.352-2.449-1.511-1.408-0.61-1.012-0.374-0.305-0.607-2.138-0.001-0.645-0.09+0.068-0.31-0.308-0.605-0.305+2.62+0.32-0.305-0.285-0.066-0.26-0.918-0.305-0.605-1.525-0.57-0.78-0.64-0.29-0.304-1-0.31-1.66-2.62-0.795-0.306-0.55+12.232-0.3-0.002+2.988+2.989+2.983-0.305-0.305-0.305-0.61-0.305-0.608-0.43-0.296-0.305-1.819-0.632-0.6-0.298-0.002</f>
        <v>26.658000000000005</v>
      </c>
      <c r="F508" s="25">
        <v>142500</v>
      </c>
    </row>
    <row r="509" spans="1:6">
      <c r="A509"/>
      <c r="B509" s="30">
        <v>20</v>
      </c>
      <c r="C509" s="30" t="s">
        <v>795</v>
      </c>
      <c r="D509" s="30" t="s">
        <v>233</v>
      </c>
      <c r="E509" s="53">
        <f>2.14-0.365-0.36+3.98+4.34-0.365-0.36-0.368-1.836-1.844+2.61-0.332-0.727-2.278-1.448+2.6-0.368-0.702-0.321-0.405-2.635-1.05+0.035+0.059+2.78+2.39-0.705-0.68-0.34-0.705-0.355-0.35+16.926+2.831+0.392-2.824-1.02-1.04+0.025-2.816-2.821-0.392-0.405-1.615-2.832-2.818-0.811-0.405-0.815-0.4-1.195+2.671+2.673+2.669+2.669+2.668+2.674+1.522+2.672-1.15-2.669-1.915-0.765-0.765-1.15-0.753-0.012+1.075-0.38+11.174+8.769-1.15-0.385-1.127-0.023-1.15-2.669-0.38-0.765-1.525+0.003-6.39-0.348-0.412+0.034-2.395-4.387-1.075-0.762-4.392-2.379+19.003-0.795-1.584-1.59-0.79-2.779-0.392-0.003-0.388-1.189-1.581+2.795+19.18-0.795-0.395-0.79-2.765-0.394-0.795-0.385-0.003-1.59-2.795-1.199-0.402-1.595-0.8-1.595-0.002-0.4-0.4-2.797-2.799-0.4-0.4-0.4</f>
        <v>5.9909999999999926</v>
      </c>
      <c r="F509" s="25">
        <v>137500</v>
      </c>
    </row>
    <row r="510" spans="1:6">
      <c r="A510"/>
      <c r="B510" s="30" t="s">
        <v>234</v>
      </c>
      <c r="C510" s="30" t="s">
        <v>795</v>
      </c>
      <c r="D510" s="30" t="s">
        <v>233</v>
      </c>
      <c r="E510" s="53">
        <f>0.25+5.446-0.605-3.922+2.46+2.48-0.315-0.6-2.125+1.28+2.64-0.32-0.368+1.4-0.67-0.326+0.775-0.35-0.38-0.004-2.112-0.028-0.346-1.966-0.333+7.93-0.664-0.301-0.033+0.023+1.78+1.72+0.58-1.264-0.57-0.3-0.29-0.32-2.2-2.846-0.3-0.946-1.78-0.28+0.02-0.58-0.32-0.395-0.034-0.004-0.318+0.011+5.1+0.592-1.541-0.32-0.034+2.99-1.51-0.592-3.218+5.54-0.35</f>
        <v>6.9370000000000003</v>
      </c>
      <c r="F510" s="25">
        <v>142500</v>
      </c>
    </row>
    <row r="511" spans="1:6">
      <c r="A511"/>
      <c r="B511" s="30">
        <v>20</v>
      </c>
      <c r="C511" s="30" t="s">
        <v>475</v>
      </c>
      <c r="D511" s="30" t="s">
        <v>233</v>
      </c>
      <c r="E511" s="53">
        <f>54.445-0.404-0.88-1.11+0.02-2.144-3.025-3.019-3.013-3.453-3.021+3.184+3.184+3.184+3.182+3.184+4.548-1.274-0.836-2.254-3.093-0.081-0.898-3.076-0.45-2.225-0.45-0.925-4.156-0.377-0.897-3.135-3.119-0.91+0.029+20.77-0.731-0.009-5.063-1.275-0.735-1.278-0.92-1.276-0.852-0.45-0.85-0.848-0.45-0.91-1.275-2.564-0.425-1.345-0.426-2.3-0.43-0.454-0.906-0.46-3.184-0.024-0.473-0.884+1.36-1.27-1.692+21.112-0.88-0.885-0.46-3.525-0.9+0.679-0.44-1.759-0.439-0.001-0.881-4.405-0.92-0.058-0.44-0.24-0.375+0.015-0.239-0.641-0.44-0.44-1.985-0.685-0.426-1.475-1.847</f>
        <v>12.125999999999983</v>
      </c>
      <c r="F511" s="25">
        <v>133000</v>
      </c>
    </row>
    <row r="512" spans="1:6">
      <c r="A512"/>
      <c r="B512" s="30" t="s">
        <v>234</v>
      </c>
      <c r="C512" s="30" t="s">
        <v>475</v>
      </c>
      <c r="D512" s="30" t="s">
        <v>233</v>
      </c>
      <c r="E512" s="53">
        <f>46.895-0.375-0.86-0.375+0.035+3.32+3.7+3.77+0.36-0.42-0.385-2.175-1.73-0.43-3.29-2.525-3.385+0.01-0.36-0.875-3.9-4.76-4.72-2.4-4.32-0.4-4.7-0.035-0.815-0.43-0.415-1.288-0.434-4.74-1.245-0.357-0.073-0.42-0.425+0.86-0.43-0.844+1.348+0.654+3.226+0.34+0.656+0.284+1.305-0.344-0.022-1.004-0.858-0.43-0.432-0.34-2.6-0.862-1.283-0.105-0.86-0.4-0.357-0.315-0.34-0.284-0.314-0.011-0.65-0.34+0.035+0.104-0.425+0.01+20.47-0.435-20.035+15.465+1.714+3.092-3.088-3.089-3.088-3.108-3.092-1.714-3.092+27.809+3.039-0.87-0.435-0.87-3.039-3.047-3.039-0.435+20.833-0.435-1.31-0.435-3.04-3.037-1.737-1.294-0.004-0.435-2.604-0.44-0.44+1.16-1.294-0.008-0.423-0.008-0.001-0.41-0.435-0.435-0.39-0.865-0.44-6.072-1.29-0.445-0.435+0.017-0.42+0.06-0.44-0.44-1.739-2.6-7.382+0.678-0.337-0.341+5.078-0.43+20.588-2.533-0.43-2.15-8.976-2.115</f>
        <v>9.0320000000000178</v>
      </c>
      <c r="F512" s="25">
        <v>139000</v>
      </c>
    </row>
    <row r="513" spans="1:6">
      <c r="A513"/>
      <c r="B513" s="30" t="s">
        <v>234</v>
      </c>
      <c r="C513" s="30" t="s">
        <v>993</v>
      </c>
      <c r="D513" s="25" t="s">
        <v>233</v>
      </c>
      <c r="E513" s="53">
        <f>4.984-1.015-0.335-2.02-0.32-0.32-0.995+0.021</f>
        <v>2.0469737016526324E-16</v>
      </c>
      <c r="F513" s="25">
        <v>139000</v>
      </c>
    </row>
    <row r="514" spans="1:6">
      <c r="A514"/>
      <c r="B514" s="30">
        <v>20</v>
      </c>
      <c r="C514" s="30" t="s">
        <v>476</v>
      </c>
      <c r="D514" s="30" t="s">
        <v>233</v>
      </c>
      <c r="E514" s="53">
        <f>16.387-0.53-1.02-2.572-0.52-0.016-0.482-1.03-0.474-3.603-1.04+0.035-0.52-1.012-1.035-1.538+3.592+2.059+3.628+3.615+3.617+3.608-3.615-1.03-1.55-0.52-1.558-3.617-3.608-3.064-0.52-0.515-0.509-0.011+10.344-0.438-0.43-0.44-4.315-1.305-1.305+20.178-1.552-0.52-1.035-1.549-0.52-1.555+10.244-0.519-0.001-3.097-1.035-2.155+0.044-8.25-5.696-1.5+5.696-4.131+20.393-0.52-0.479-0.028-0.013-1.55-2.075-9.936-0.524-1.561-0.539-3.116-1.045-1.045-0.525-1.045-0.494-0.525-1.045-0.518+15.678-2.09-0.525+4.694-1.564-1.045-2.095-4.694-0.52</f>
        <v>7.8390000000000093</v>
      </c>
      <c r="F514" s="25">
        <v>127000</v>
      </c>
    </row>
    <row r="515" spans="1:6">
      <c r="A515"/>
      <c r="B515" s="30" t="s">
        <v>234</v>
      </c>
      <c r="C515" s="30" t="s">
        <v>476</v>
      </c>
      <c r="D515" s="30" t="s">
        <v>233</v>
      </c>
      <c r="E515" s="53">
        <f>0.44+2.42+2.33-0.935-0.93-2.42-0.46-0.44+1.8+3.04-1.375+3.26+17.014-0.865-5.23-0.455-0.932-0.484+0.46+0.46+0.46+4.68-1.844-2.058-0.46-0.016-0.444-0.517-0.005+0.057-1.724-0.46-1.727-0.9-0.34-6.2-2.136+0.265-0.39-0.36+8.845-0.36-0.05+0.015-2.14-0.044-0.494-0.497+2.745+2.575+3.602+2.576+3.605+3.614+3.609-0.5-2.576-0.52-0.486-2.055-3.602-3.605-3.614-3.609-0.49-1.03-3.925-0.494-0.35-0.685-0.978-0.345-0.494+3.593+3.594+2.063+3.577+3.594+3.588-1.025-0.496+0.009-3.577-3.594-3.588-1.05-0.345+0.01+15.622-0.522-3.594-1.518-0.515+4.716-0.526-0.526-4.163-0.513-0.531+0.999+1.029+16.985-0.534-1.03-1.545-2.578-0.51-0.005-1.557-0.522-2.571-2.575-0.526-0.511-0.518-1.045-1.03-0.522-0.515-1.051-0.515-0.515-0.523</f>
        <v>13.420000000000007</v>
      </c>
      <c r="F515" s="25">
        <v>142500</v>
      </c>
    </row>
    <row r="516" spans="1:6">
      <c r="A516"/>
      <c r="B516" s="30">
        <v>20</v>
      </c>
      <c r="C516" s="30" t="s">
        <v>477</v>
      </c>
      <c r="D516" s="30" t="s">
        <v>233</v>
      </c>
      <c r="E516" s="53">
        <f>29.359-0.595-2.43-3.047+0.049-2.45-2.44-0.603-0.607-0.569-0.014-0.017-0.597-0.013-0.61-0.595-1.195-2.97-0.6-2.99-0.6-0.56-0.05+0.034+21.143-1.762-0.59-1.755-1.188-1.765-0.59-0.007-0.574-1.765-0.596-1.175-0.587-0.002-0.001-3.516-4.114-2.339-0.6-0.001+3.525-1.765+21.631-0.587-0.587-0.577-0.6-0.6-0.6-0.6-0.6-1.811-0.6-1.205-0.603-0.002-2.38</f>
        <v>16.144999999999996</v>
      </c>
      <c r="F516" s="25">
        <v>137500</v>
      </c>
    </row>
    <row r="517" spans="1:6">
      <c r="A517"/>
      <c r="B517" s="30" t="s">
        <v>234</v>
      </c>
      <c r="C517" s="30" t="s">
        <v>477</v>
      </c>
      <c r="D517" s="30" t="s">
        <v>233</v>
      </c>
      <c r="E517" s="53">
        <f>5.785-0.91-0.505-0.47-3.925+0.025+0.4+4.11+0.4-1.792-1.385-0.94-0.4+0.007+1.335+3.565-2.68-1.335-0.885+0.93+0.45+3.08+1.93+1.32+1.4-0.455+0.005-0.445-3.08-0.45+4.12+0.925+0.45-0.465-0.94-0.454-0.45-2.77-1.45-0.48-0.425-0.485-0.455+0.025-0.925-0.475-0.465+0.034-0.5+0.1+2.76+2.76+0.75-0.394-1.18+0.45-0.388+1.9+0.48-1.445-1.148-0.48-0.404-1.172-0.4-0.47-0.455-0.394-0.44-0.358+0.008+0.02+4.166+4.166+4.171+4.169+1.784+1.14+2.18+2.68-0.6-2.24-0.589-0.595-0.425-1.76-0.44-4.166-4.166-4.171-4.169-1.14+0.005+21.4-0.6-0.596-1.197-0.594-0.605-0.592-2.972-1.185-0.068-0.54-0.598-1.788-2.376-2.97-3.571-0.596-0.615+0.063+21.394-0.595-4.159-0.6-1.19-0.595-1.779-0.595-0.6+17.982-0.595+3.432-0.595-1.161-8.114-0.58-1.772-0.006-1.142-0.576-0.58-0.595-0.575-0.576+0.017-2.32-4.072-0.58-0.595-1.165+0.01-1.19-1.777-1.785+3.32+1.84-0.48+21.557-1.78-1.81-1.84-3-2.405-0.477-0.48-1.205-0.599-0.555-0.014-0.631</f>
        <v>13.811999999999996</v>
      </c>
      <c r="F517" s="25">
        <v>142500</v>
      </c>
    </row>
    <row r="518" spans="1:6">
      <c r="A518"/>
      <c r="B518" s="30">
        <v>20</v>
      </c>
      <c r="C518" s="30" t="s">
        <v>478</v>
      </c>
      <c r="D518" s="30" t="s">
        <v>233</v>
      </c>
      <c r="E518" s="53">
        <f>20.583-2.01-4.721-2.015-2.015-0.673-0.002-0.663-1.345+1.345+4.719+4.717-0.675+4.712+4.718-4.703-0.675-3.367-16.838+0.003+20.384-1.24-2.48-0.01-4.323-0.01-0.61-1.238+0.01-3.071-0.62-0.62-0.606-0.007-0.007-0.62-0.62-0.584-4.348+0.01</f>
        <v>0.48499999999999699</v>
      </c>
      <c r="F518" s="25">
        <v>137500</v>
      </c>
    </row>
    <row r="519" spans="1:6">
      <c r="A519"/>
      <c r="B519" s="30" t="s">
        <v>234</v>
      </c>
      <c r="C519" s="30" t="s">
        <v>478</v>
      </c>
      <c r="D519" s="30" t="s">
        <v>233</v>
      </c>
      <c r="E519" s="53">
        <f>4.01-0.51-0.505-1.5-0.495-1+5-3.545-0.51+4.93+2.37-0.476-0.49+2.94+2.45-1.894-0.48+5.215+0.48-0.97-0.51-0.965-0.48-0.49-0.965-0.99-0.475-0.485+0.05-0.99-0.97-1.03-3.96-1.84-0.5-0.49+0.07+7.6-0.48-0.945-3.83-0.47-1.875+3.632+4.81+0.47-2.432-0.48-1.898-0.032-0.49-0.33+0.052-0.335-2.967+3.389+3.392+3.391+3.385+3.393+3.384-0.68-1.36+0.68-0.68-3.385-3.393-1.36-0.68-2.032-0.008-1.36-0.656-0.024-2.72+4.708+4.671+4.717+4.674+1.335-0.68-1.36-0.67-0.645-0.035-0.636-0.039-0.67-0.675-1.34-1.35+3.254-0.3-0.675-0.675-0.675-3.989-0.675-0.644-0.031-1.35-0.675-1.35-1.296-0.719-0.68-2.954-0.587+15.967+4.299-0.615-1.23-0.615-0.615+1.461-0.62-1.23-0.605-0.01</f>
        <v>16.846999999999994</v>
      </c>
      <c r="F519" s="25">
        <v>142500</v>
      </c>
    </row>
    <row r="520" spans="1:6">
      <c r="A520"/>
      <c r="B520" s="30">
        <v>20</v>
      </c>
      <c r="C520" s="30" t="s">
        <v>917</v>
      </c>
      <c r="D520" s="30" t="s">
        <v>233</v>
      </c>
      <c r="E520" s="53">
        <f>0.808-0.415-0.38-0.013</f>
        <v>6.7654215563095477E-17</v>
      </c>
      <c r="F520" s="25">
        <v>137500</v>
      </c>
    </row>
    <row r="521" spans="1:6">
      <c r="A521"/>
      <c r="B521" s="30">
        <v>20</v>
      </c>
      <c r="C521" s="30" t="s">
        <v>1068</v>
      </c>
      <c r="D521" s="30" t="s">
        <v>233</v>
      </c>
      <c r="E521" s="53">
        <f>4.615+4.035+1.135-0.58-0.575-1.73-0.575-3.46-0.015-0.575-1.72-0.555</f>
        <v>0</v>
      </c>
      <c r="F521" s="25">
        <v>146000</v>
      </c>
    </row>
    <row r="522" spans="1:6">
      <c r="A522"/>
      <c r="B522" s="30">
        <v>20</v>
      </c>
      <c r="C522" s="30" t="s">
        <v>479</v>
      </c>
      <c r="D522" s="30" t="s">
        <v>233</v>
      </c>
      <c r="E522" s="53">
        <f>6.671+21.14-0.838-0.688-0.838-0.007+3.239+3.234+3.231+3.23+3.239+3.243-1.393+1.62-0.81-0.81-3.231-10.578-1.619-3.23-3.239-3.243-0.82-0.825-2.45+3.228+3.234+3.231+3.234+1.614+3.232+3.23-0.226-0.222-2.219-4.065-3.23-0.815+3.247+3.252+3.245+1.633+3.266+3.265+3.269-0.799+16.521-3.228-3.234-3.269+14.948-19.828-1.63-0.75+0.008-0.68-0.01-2.36-2.361-0.79-2.36-2.36-0.815-2.36-0.807-0.013-2.36-1.64-0.81-3.234-0.81-3.231-3.232+9.902+31.276+16.555-0.82+2.959-0.825-0.825-0.105-0.82-0.785-0.806-0.014-16.555-2.959-0.82-0.82-0.785-0.65-0.825-0.826-0.81-0.791-0.029-3.245+0.042-0.805-0.005-0.823-0.825-0.82-0.81-0.835-0.019-0.823-4.127-0.825-7.419-0.827-0.785+31.116-0.825</f>
        <v>51.299000000000007</v>
      </c>
      <c r="F522" s="25">
        <v>146000</v>
      </c>
    </row>
    <row r="523" spans="1:6">
      <c r="A523"/>
      <c r="B523" s="28">
        <v>35</v>
      </c>
      <c r="C523" s="30" t="s">
        <v>479</v>
      </c>
      <c r="D523" s="30" t="s">
        <v>233</v>
      </c>
      <c r="E523" s="53">
        <f>14.625+37.88+11.375-0.818+0.836-2.44</f>
        <v>61.458000000000006</v>
      </c>
      <c r="F523" s="25">
        <v>156000</v>
      </c>
    </row>
    <row r="524" spans="1:6">
      <c r="A524"/>
      <c r="B524" s="30" t="s">
        <v>234</v>
      </c>
      <c r="C524" s="30" t="s">
        <v>479</v>
      </c>
      <c r="D524" s="30" t="s">
        <v>233</v>
      </c>
      <c r="E524" s="53">
        <f>1.41+2.7+0.83-1.41-0.42-1.812+1.14+0.55+0.54+0.52+0.57+1.06+0.54+0.5+0.51+0.96-0.53-1.14-0.55-0.54-0.52-0.57-0.5-0.51-0.96-0.896-0.54+0.008-0.53-0.425+0.015+2.63+2.2-0.44+1.51+0.49+2.46-0.51-0.49-2.46-0.885-1.742-0.435-1.01-0.9-0.44+0.012+0.01+1.68+1.01+2.13-0.53-1.602-0.56-0.558-1.01+0.52+1.06+3.19+2.62+0.98-3.19-1.5+0.52-0.525+0.51+0.54+0.56+3.19-1.06-0.528-0.038+0.006-0.52+21.194-0.51-2.442-1.625-1.045-3.264-0.07-0.54-0.54-1.63-7.28-0.54-0.817-0.82-0.82-0.52-0.53</f>
        <v>5.096000000000001</v>
      </c>
      <c r="F524" s="25">
        <v>152000</v>
      </c>
    </row>
    <row r="525" spans="1:6">
      <c r="A525"/>
      <c r="B525" s="30">
        <v>20</v>
      </c>
      <c r="C525" s="30" t="s">
        <v>1079</v>
      </c>
      <c r="D525" s="30" t="s">
        <v>233</v>
      </c>
      <c r="E525" s="53">
        <f>10.932-3.15-0.79-3.13-3.862+10.248-2.585-0.86-0.86</f>
        <v>5.9429999999999987</v>
      </c>
      <c r="F525" s="25">
        <v>146000</v>
      </c>
    </row>
    <row r="526" spans="1:6">
      <c r="A526"/>
      <c r="B526" s="30">
        <v>20</v>
      </c>
      <c r="C526" s="30" t="s">
        <v>480</v>
      </c>
      <c r="D526" s="30" t="s">
        <v>233</v>
      </c>
      <c r="E526" s="53">
        <f>9.421-0.762+0.002-1.25-0.004-2.255-0.752-0.606-0.76-0.005-0.633-1.48-0.721-0.031+0.053+0.028+4.79-3.44-0.686+4.13+2.07+3.045+2.26-1.38-0.755-0.755+1.85-4.13+2.8+2.79-0.72-1.85-1.4-1.54-0.75-0.705-0.69-0.761-0.76+0.016+4.95+5.615-0.7-0.688+0.024-0.71-0.695-0.66-0.04-2.85-4.92-0.695-0.71-1.41+0.02+6.68+7.395+7.25+3.63+1.48-0.745-5.93-5.817-1.48-0.005-0.745-0.74-0.76+4.19+4.21-1.206-4.19-1.215-0.718-0.745-0.74-0.73-0.73-1.21-2.965-1.48-0.745-0.115-0.58-0.05-0.559-0.02-0.766+4.14+4.1-0.054+4.09+4.07+0.465+4.135-2.07-2.07-0.465-1.365-0.675-4.1-4.135-2.72-2.03-0.69-0.68+4.67+5.35+4.06-0.68+5.385+5.375+4.735-2.68-0.67-0.66-4.003-5.35-4.735-0.667-0.008-0.68-5.375-2.705-0.68-0.67-0.012+5.975+6.01-0.605+4.955+5.025+4.995-3.628-1.21-4.955-5.025-2.48-0.6-3.01-0.605-0.085-1.204-0.515+0.032-0.595+0.04-0.835-1.68+21.302+11.454-0.815-0.805-0.82-0.82-0.795-0.785-0.805+4.692+5.48-0.83-2.38-0.795-2.385-0.79-0.795-1.598-0.79-4.69-0.8-1.58-0.825</f>
        <v>19.024999999999988</v>
      </c>
      <c r="F526" s="25">
        <v>146000</v>
      </c>
    </row>
    <row r="527" spans="1:6">
      <c r="A527"/>
      <c r="B527" s="30" t="s">
        <v>234</v>
      </c>
      <c r="C527" s="30" t="s">
        <v>480</v>
      </c>
      <c r="D527" s="30" t="s">
        <v>233</v>
      </c>
      <c r="E527" s="53">
        <f>2.695+1.325-0.68-0.67-1.345</f>
        <v>1.3249999999999995</v>
      </c>
      <c r="F527" s="25">
        <v>152000</v>
      </c>
    </row>
    <row r="528" spans="1:6">
      <c r="A528"/>
      <c r="B528" s="30">
        <v>20</v>
      </c>
      <c r="C528" s="30" t="s">
        <v>481</v>
      </c>
      <c r="D528" s="30" t="s">
        <v>233</v>
      </c>
      <c r="E528" s="53">
        <f>0.31-0.32+0.01</f>
        <v>0</v>
      </c>
      <c r="F528" s="25">
        <v>156000</v>
      </c>
    </row>
    <row r="529" spans="1:6">
      <c r="A529"/>
      <c r="B529" s="30">
        <v>20</v>
      </c>
      <c r="C529" s="30" t="s">
        <v>1020</v>
      </c>
      <c r="D529" s="30" t="s">
        <v>233</v>
      </c>
      <c r="E529" s="53">
        <f>1.3+2.46+0.55+4.61-0.55+0.944+0.918+1.878-0.93-0.014-1.845-2.765-0.92+0.002-1.815+5.286-1.878-1.3-1.165+1.62+8.905+10.402-1.065-0.805-0.81-0.005-0.815-1.065-0.81-1.07-1.055</f>
        <v>18.192999999999998</v>
      </c>
      <c r="F529" s="25">
        <v>156000</v>
      </c>
    </row>
    <row r="530" spans="1:6">
      <c r="A530"/>
      <c r="B530" s="30">
        <v>20</v>
      </c>
      <c r="C530" s="30" t="s">
        <v>482</v>
      </c>
      <c r="D530" s="30" t="s">
        <v>233</v>
      </c>
      <c r="E530" s="53">
        <f>3.845-0.765-0.77-0.77-0.78-0.775+0.015+2.21+2.95-0.75-0.745-1.47+0.015-2.21+1.53+2.3+1.47-0.767-1.53-1.47-0.76-0.775+0.002+1.745+3.495-0.885-0.875+5-0.875-4.18-1.745+5.22+5.21-2.99-0.88+0.02+3.04+1.83+0.41-0.835+0.015-0.763-0.762-2.99-0.41+2.99-0.765-3.04-0.75-0.76-0.75-1.83-3.025+0.08+0.055+3.35+3.34+3.36-0.68-1.345-0.672-1.346-0.676-0.67-3.35-0.665-0.66+0.014+4.025+3.99-0.68-1.335-1.35-1.335-1.33-0.66-0.67+3.705-0.655+6.53-0.96-0.94-0.925-0.925-0.945-0.94-0.93-0.925+10.548-0.93-1.055-1.053-1.056-1.07-0.88-0.935-6.39+0.076+7.678+6.578-1.11-1.1-1.11-5.5-2.205-2.153-1.157+0.079+10.508</f>
        <v>10.507999999999996</v>
      </c>
      <c r="F530" s="25">
        <v>156000</v>
      </c>
    </row>
    <row r="531" spans="1:6">
      <c r="A531" s="67"/>
      <c r="B531" s="30">
        <v>20</v>
      </c>
      <c r="C531" s="30" t="s">
        <v>796</v>
      </c>
      <c r="D531" s="30" t="s">
        <v>233</v>
      </c>
      <c r="E531" s="53">
        <f>3.03+2-3.03-0.665+7.24-0.67-7.24-0.67+0.005+4.79+3.245+3.24-1.62-0.817-0.815-1.628-2.435+0.01-0.82-1.585-0.815+0.05-0.815+0.015+6.834+3.41-5.48-0.68-0.676-2.73-0.678+2.46+2.97-2.46-2.475-0.495+4.065+5.09-0.355-2.042-4.065-1.03+8.88+12.678-1.018-4.22-2.12-5.3-0.645-1.62-0.8+16.263-2.424-0.815-2.41-1.03-0.008-1.08-1.065-5.475-1.09-1.086-0.805-0.006-5.455+5.44-1.09+0.078-0.88-3.645-0.915+4.695+5.68-4.695-0.811-0.812+7.396+3.164-2.43+1.03-7.396-3.164-1.06-1.627+0.03+12.578-3.17-1.05-1.05</f>
        <v>7.3080000000000007</v>
      </c>
      <c r="F531" s="25">
        <v>156000</v>
      </c>
    </row>
    <row r="532" spans="1:6">
      <c r="A532" s="67"/>
      <c r="B532" s="30">
        <v>20</v>
      </c>
      <c r="C532" s="30" t="s">
        <v>994</v>
      </c>
      <c r="D532" s="30" t="s">
        <v>233</v>
      </c>
      <c r="E532" s="53">
        <f>4.08+4.12-0.825-0.805-0.83-1.66-0.82-0.81-0.84-1.625+0.015+4.255-1.075-1.065-1.085-1.03</f>
        <v>0</v>
      </c>
      <c r="F532" s="25">
        <v>156000</v>
      </c>
    </row>
    <row r="533" spans="1:6">
      <c r="A533" s="67"/>
      <c r="B533" s="30">
        <v>20</v>
      </c>
      <c r="C533" s="30" t="s">
        <v>483</v>
      </c>
      <c r="D533" s="30" t="s">
        <v>233</v>
      </c>
      <c r="E533" s="53">
        <f>9.02+0.68-1.225+0.045-0.725-2.16+0.005-1.26-0.735-1.37-0.68-0.718+2.15+2.86-0.72-0.725+4.475-1.46+0.9-0.71-0.69-0.035-0.9-0.72+0.015-4.475-0.7-0.142+5.64+4.765-3.185-0.805-1.68+0.03-0.8-1.59+4.86-4.86-0.802-0.795-0.8+0.022+4.075-2.445+2.36+4.035-0.775-3.195-1.585-1.63-0.809-0.031+3.15+4.22+0.52+0.47-0.52-0.47-2.12-2.1-1.05-1.03-1.07+6.355-1.16-2.12-0.956-1.064-1.055+21.827-2.19-1.1-1.095-6.536-0.014-3.28-4.369-2.221-1.08+0.058+15.698-3.14-1.06-1.05+7.366+5.29+3.054-1.055-1.06-2.135-3.116-0.049</f>
        <v>18.743000000000002</v>
      </c>
      <c r="F533" s="25">
        <v>163000</v>
      </c>
    </row>
    <row r="534" spans="1:6">
      <c r="A534"/>
      <c r="B534" s="30" t="s">
        <v>234</v>
      </c>
      <c r="C534" s="30" t="s">
        <v>483</v>
      </c>
      <c r="D534" s="30" t="s">
        <v>233</v>
      </c>
      <c r="E534" s="53">
        <f>2.78+2.72-2.78-2.72+5.255-4.405-0.85+2.275+3.12-0.777-0.8-0.775-0.77-1.565-0.698-0.037+0.027</f>
        <v>-2.1163626406917047E-16</v>
      </c>
      <c r="F534" s="25">
        <v>171000</v>
      </c>
    </row>
    <row r="535" spans="1:6">
      <c r="A535"/>
      <c r="B535" s="30">
        <v>20</v>
      </c>
      <c r="C535" s="30" t="s">
        <v>484</v>
      </c>
      <c r="D535" s="30" t="s">
        <v>233</v>
      </c>
      <c r="E535" s="53">
        <f>3.58+1.795-1.79-1.798-0.005-0.899-0.883+10.265</f>
        <v>10.265000000000001</v>
      </c>
      <c r="F535" s="25">
        <v>166000</v>
      </c>
    </row>
    <row r="536" spans="1:6">
      <c r="A536"/>
      <c r="B536" s="30">
        <v>20</v>
      </c>
      <c r="C536" s="30" t="s">
        <v>485</v>
      </c>
      <c r="D536" s="30" t="s">
        <v>233</v>
      </c>
      <c r="E536" s="53">
        <f>5.325-0.205-1.102-2.47+0.04+0.131-0.275+0.015-0.205-0.485-0.255-0.52+0.006+0.26+1.682+1.7+1.676+1.682+1.682+6.715+14.479+2.456+2.538+2.44+2.405+2.622+2.578+3.74-0.25-2.44-1.47-0.5-0.5-1.7-1.676-1.682-0.27+0.01-0.24-0.245-0.5-1.29-0.8-0.192-0.48-2.538-0.98-0.24-0.53-1.3+5.154+16.184-0.26-0.25+0.795-0.289-0.25-0.24-0.24-0.242-0.25-0.485-0.253-0.007-0.265-0.27-1.721-0.245-0.245-0.245-0.25-0.25-0.495-0.482-0.008-0.746-1.715-0.49-0.75-0.467-0.033-0.74-1.723-0.25-0.727-0.003-0.49-0.245-0.525</f>
        <v>34.828999999999994</v>
      </c>
      <c r="F536" s="25">
        <v>137500</v>
      </c>
    </row>
    <row r="537" spans="1:6">
      <c r="A537"/>
      <c r="B537" s="30" t="s">
        <v>234</v>
      </c>
      <c r="C537" s="30" t="s">
        <v>485</v>
      </c>
      <c r="D537" s="30" t="s">
        <v>233</v>
      </c>
      <c r="E537" s="53">
        <f>4.69-0.472-1.887+2.58+2.68-2.36-2.58+0.029-1.87+3.03+2.68-0.235-1.24-1.055-3.03-0.23-0.575+4.58+0.71-0.238+0.48+1.32-4.58-0.472-0.155-0.48-1.32+4.46+1.08+4.46+4.42-1.68+0.76-0.76-1.08-1.42+0.28-1.135-1.125-2.2-0.065-4.42-1.37-0.28+0.075+0.76-0.76+10.22+2.52-0.258-2.265+0.003+17.172+1.671+1.678+4.98+4.968-0.48-1.678-10.017-1.19-4.98-4.968-1.671-0.24-10.22-0.244-0.958-3.825+21.008+0.226-0.485+1.765+1.763+1.77+1.766+1.765+1.764+1.769+1.769+1.76+1.758+0.758+1.768+1.757-0.49-1.212-0.255-0.76-0.245-0.255-0.242+0.024-0.243-0.242-0.244-0.245-0.255-0.717-0.76-0.51-1.004-1.769-0.011-13.082-0.243-0.243+0.243-0.26-1.44-1.768-0.248-0.007-0.243-0.731-0.255-1.22-0.255-3.86-0.477-0.033-0.241-0.5+0.051-0.731</f>
        <v>7.9210000000000154</v>
      </c>
      <c r="F537" s="25">
        <v>142500</v>
      </c>
    </row>
    <row r="538" spans="1:6">
      <c r="A538"/>
      <c r="B538" s="30">
        <v>20</v>
      </c>
      <c r="C538" s="30" t="s">
        <v>54</v>
      </c>
      <c r="D538" s="30" t="s">
        <v>233</v>
      </c>
      <c r="E538" s="53">
        <f>4.03+0.54+1.7+1.52+1.76-0.505-9.045+8.665-0.54-0.18-0.69-7.255+7.255-0.352-0.175-0.186-0.162-0.378-4.03-1.52-0.54+0.088+5.112-0.842-0.565-1.69-0.566-0.282-0.284-0.842-0.041+10.19-0.332-3.613-0.334-0.665+3.84+1.92+0.6+0.64-0.335-0.322-0.336-1.627-0.335</f>
        <v>9.2909999999999968</v>
      </c>
      <c r="F538" s="25">
        <v>137500</v>
      </c>
    </row>
    <row r="539" spans="1:6">
      <c r="A539"/>
      <c r="B539" s="30" t="s">
        <v>234</v>
      </c>
      <c r="C539" s="30" t="s">
        <v>54</v>
      </c>
      <c r="D539" s="30" t="s">
        <v>233</v>
      </c>
      <c r="E539" s="53">
        <f>1.867-1.867+1.867-1.88+0.013+2.54+2.55-0.288-0.282-0.285-0.566+0.57-1.13-0.284-1.13-0.57-0.835-0.293+0.003+4.092-1.086-0.548+5.42-2.437-0.272-0.278-0.822-0.278-0.278-0.276-0.558-0.532-0.822+0.043-0.28+5.07-1.71-1.132-0.863-0.272-1.106-1.088+0.013+5.24-3.92-0.265</f>
        <v>1.055000000000001</v>
      </c>
      <c r="F539" s="25">
        <v>151000</v>
      </c>
    </row>
    <row r="540" spans="1:6">
      <c r="A540"/>
      <c r="B540" s="30">
        <v>20</v>
      </c>
      <c r="C540" s="30" t="s">
        <v>486</v>
      </c>
      <c r="D540" s="30" t="s">
        <v>233</v>
      </c>
      <c r="E540" s="53">
        <f>6.7-0.38-1.145-1.14-2.659+22.297-9.661-7.069-2.599-0.399-0.363-0.378+0.04-0.75-1.115+1.512+2.644+2.644+2.645+2.638+2.642+2.638+2.634+2.636-2.644-2.645-2.642-2.253-2.636-1.133-2.638-2.634-1.512-1.511-0.385-0.745-0.352+0.076-0.376+0.018+13.178+25.956+1.25+2.265-9.031-0.765-0.39-3.88-1.51-2.848-1.332+21.163-0.77-1.135-2.265-1.55-0.38-2.695-0.78-0.39-0.75-17.113-1.94-2.695-0.38-0.375-0.015-0.356-2.695-1.149-0.77-1.16-0.39+14.496+5.998-0.385-0.376-1.86-1.115-1.115-0.373-10.78+0.008-0.036-0.35-0.019-1.15-0.372-0.384-2.64-1.487-0.39+3.15+1.9+20.767-0.372-0.32-0.31+21.353-1.12-0.637-0.37-2.602-1.116-12.276-0.32-0.312-0.385-0.765-0.39-0.38-0.316-3.828-1.071-0.801</f>
        <v>21.452000000000012</v>
      </c>
      <c r="F540" s="25">
        <v>137500</v>
      </c>
    </row>
    <row r="541" spans="1:6">
      <c r="A541"/>
      <c r="B541" s="30" t="s">
        <v>234</v>
      </c>
      <c r="C541" s="30" t="s">
        <v>486</v>
      </c>
      <c r="D541" s="30" t="s">
        <v>233</v>
      </c>
      <c r="E541" s="53">
        <f>11.967-0.668-2.256-0.319+4.908+3.43+0.292-0.526+15.623+13.997+1.997+2.68+0.94-1.49-0.38-0.375-1.12-1.87-0.812-0.732-0.018-0.375-0.375-2.596-2.206-0.024-0.75-0.295-1.072-1.49-1.622-0.303-0.001-0.375-0.352-0.02-0.375-0.292</f>
        <v>32.74499999999999</v>
      </c>
      <c r="F541" s="25">
        <v>142500</v>
      </c>
    </row>
    <row r="542" spans="1:6">
      <c r="A542"/>
      <c r="B542" s="30">
        <v>20</v>
      </c>
      <c r="C542" s="30" t="s">
        <v>487</v>
      </c>
      <c r="D542" s="30" t="s">
        <v>233</v>
      </c>
      <c r="E542" s="53">
        <f>1.2-0.41-0.405-0.41+0.025+4.85-0.35-2.43-1.03-1.04+5.158-0.306-4.852</f>
        <v>0</v>
      </c>
      <c r="F542" s="25">
        <v>137500</v>
      </c>
    </row>
    <row r="543" spans="1:6">
      <c r="A543"/>
      <c r="B543" s="30" t="s">
        <v>234</v>
      </c>
      <c r="C543" s="30" t="s">
        <v>487</v>
      </c>
      <c r="D543" s="30" t="s">
        <v>233</v>
      </c>
      <c r="E543" s="53">
        <f>0.33+2.3+1.522-4.152+4.152-4.152+4.152-1.458-0.756-0.28+0.77+5.064+0.32+3.6-0.33-4.81+0.076-0.7-1.08-0.36+4.426-0.311</f>
        <v>8.3230000000000004</v>
      </c>
      <c r="F543" s="25">
        <v>147500</v>
      </c>
    </row>
    <row r="544" spans="1:6">
      <c r="A544"/>
      <c r="B544" s="30">
        <v>20</v>
      </c>
      <c r="C544" s="30" t="s">
        <v>188</v>
      </c>
      <c r="D544" s="30" t="s">
        <v>233</v>
      </c>
      <c r="E544" s="53">
        <f>40.782-0.145-0.453-3.213-0.47-0.925-0.465-0.46-2.24-0.465-3.228-7.658-1.809-0.45-0.45-0.439-0.026-0.92-0.46-1.37+4.128+3.206+3.207+3.223+3.206+3.204-1.385-0.466-0.462-1.38-3.207-0.916-0.926-0.46-0.46-0.005-1.385-3.229-0.424-0.961-2.75-0.454-0.006-0.47-3.206-0.461-0.871-0.049+1.378+3.213+3.21+3.211+3.206+3.215+3.211-1.378+14.388-0.45-2.398-2.398-1.445-0.47+1.45-2.255-0.915-0.04-2.398-2.398-2.398-0.48+0.04-0.915-1.371-2.76-0.46-0.46-3.211-0.46-1.815-0.94-0.397-0.063-0.456+0.019-0.965-3.21-0.007-1.83-0.914-0.46-4.047-0.451-0.001-0.008+20.559-3.285-4.144-0.945-3.278-0.46+0.24-0.475+0.065</f>
        <v>11.57099999999997</v>
      </c>
      <c r="F544" s="25">
        <v>137500</v>
      </c>
    </row>
    <row r="545" spans="1:6">
      <c r="A545"/>
      <c r="B545" s="30" t="s">
        <v>234</v>
      </c>
      <c r="C545" s="30" t="s">
        <v>188</v>
      </c>
      <c r="D545" s="30" t="s">
        <v>233</v>
      </c>
      <c r="E545" s="53">
        <f>6.484-0.39+0.192-1.164+2.684-3.105+5+2.1+1.32+1.146+0.961+4.992-0.961-0.58-0.68-2.684-5-1.172-0.228-0.365-0.42-1.68-0.244-2.365-0.64-1.146-0.34-1.607-0.333+0.233+1.68+0.244-0.425-1.275+0.02+1.6-0.81+4.8-1.854+5.105-0.806-0.005-0.003+0.016-5.105-2.225-0.366+1.945+0.383+2.725+2.722+3.175+3.181+3.171+3.165-0.373+0.018-1.945-0.383-3.175-0.25-2.725-2.722-2.716-3.171-3.165+0.006-0.465+0.8+3.108+3.109+1.773-1.34+3.276+3.276+3.283+3.281-0.433-0.017-3.283-0.47-0.45-1.335-0.45-1.335-1.756-0.024-3.276-2.806-3.281-0.45+3.187+1.815+3.182+2.734+3.177+3.181+3.185-0.46-0.91-0.905-0.005-1.37-0.92-2.28-1.37-0.46-0.46-2.29-0.442-0.895-0.938-0.46-1.368-2.722-0.873-0.037+2.77+19.742-0.46-1.32-2.21-0.35-0.455-1.952-0.88-1.32-0.681-0.38+3.17-0.011-0.869-3.076</f>
        <v>14.213999999999988</v>
      </c>
      <c r="F545" s="25">
        <v>142500</v>
      </c>
    </row>
    <row r="546" spans="1:6">
      <c r="A546"/>
      <c r="B546" s="30">
        <v>20</v>
      </c>
      <c r="C546" s="30" t="s">
        <v>488</v>
      </c>
      <c r="D546" s="30" t="s">
        <v>233</v>
      </c>
      <c r="E546" s="53">
        <f>3.261-0.49-0.485-0.965-0.252+0.004-0.49+0.248</f>
        <v>0.83100000000000018</v>
      </c>
      <c r="F546" s="25">
        <v>137500</v>
      </c>
    </row>
    <row r="547" spans="1:6">
      <c r="A547"/>
      <c r="B547" s="30">
        <v>20</v>
      </c>
      <c r="C547" s="30" t="s">
        <v>489</v>
      </c>
      <c r="D547" s="30" t="s">
        <v>233</v>
      </c>
      <c r="E547" s="53">
        <f>47.971-2.753-2.201-1.65-2.761-3.861-1.1-1.6-0.001-0.06-3.307-0.544-0.552-0.003-1.634-0.684-0.56+20.181-11.026-2.883-1.732-0.59-0.58-1.155+0.001-0.342-2.752-0.66-0.5-0.685-1.74-1.735-0.54-1.723-0.007-0.585-0.345-1.74-0.58-0.601-0.005-1.144-0.561-0.558-0.041-0.59-1.725-0.35+0.068-0.29-1.276+0.36-1.19+20.057-0.56-0.556-0.56-0.56+1.58-2.835+0.026-0.557-0.561-1.117-14.485+19.659-1.58-0.545</f>
        <v>22.485000000000007</v>
      </c>
      <c r="F547" s="25">
        <v>137500</v>
      </c>
    </row>
    <row r="548" spans="1:6">
      <c r="A548"/>
      <c r="B548" s="30" t="s">
        <v>234</v>
      </c>
      <c r="C548" s="30" t="s">
        <v>489</v>
      </c>
      <c r="D548" s="30" t="s">
        <v>233</v>
      </c>
      <c r="E548" s="53">
        <f>14.137-5.938-0.68-7.563+0.044+3.865+3.871+3.869+3.874+3.287+3.285+3.285+3.287+3.289+3.288+3.859+2.197+1.409-2.347-3.871-3.289-0.945-1.492-3.287-3.865-3.869-3.874-2.209-2.205-1.09-0.464-0.47-0.94-0.47-0.235-0.136-0.471-0.118-0.448-2.815+30.698-0.47-1.88-0.47-1.09-0.044-0.317-0.109-0.541-2.7-3.761-3.767-3.765-1.63-2.18-3.755-0.545-0.565-1.065-1.08-0.509-0.036-0.54-1.08-1.562-0.053+11.626+1.109+2.77+2.216+3.877-0.555-0.465-0.553-0.554-0.555-2.77-1.661-3.877-0.551-1.105-0.555-5.533-1.107-1.105+10.73+9.726-0.53</f>
        <v>21.517000000000003</v>
      </c>
      <c r="F548" s="25">
        <v>142500</v>
      </c>
    </row>
    <row r="549" spans="1:6">
      <c r="A549"/>
      <c r="B549" s="30" t="s">
        <v>234</v>
      </c>
      <c r="C549" s="30" t="s">
        <v>918</v>
      </c>
      <c r="D549" s="30" t="s">
        <v>233</v>
      </c>
      <c r="E549" s="53">
        <f>7.56-3.27</f>
        <v>4.2899999999999991</v>
      </c>
      <c r="F549" s="25">
        <v>142500</v>
      </c>
    </row>
    <row r="550" spans="1:6">
      <c r="A550"/>
      <c r="B550" s="30">
        <v>20</v>
      </c>
      <c r="C550" s="30" t="s">
        <v>490</v>
      </c>
      <c r="D550" s="30" t="s">
        <v>233</v>
      </c>
      <c r="E550" s="53">
        <f>5.72-1.614-1.056+2.436-1.006-1.614+0.01-1.26-1.24+0.064+2.63+2.62-1.58-0.52-1.045+1.255-1.053-0.53-0.522+0.49+4.79-1.07-2.135-0.49-1.255-1.595+0.01-0.44+3.32+3.98+3.97+2.49-0.96+0.49-0.49-2.98-0.478-1.44+4.78+4.81-3.97-2.002-0.49-2.88-0.49-0.956-0.96+4.812-2.555-0.995-0.488-0.01+0.005-0.485-0.49-0.985-0.97-1.272-0.92-0.045-0.475+0.033-0.99+0.086+4.82+0.56-2.61+3.74+3.729+3.732+2.675+3.746+1.607+1.599-2.675-2.13-2.145-0.56-2.21-0.025-3.74-3.729-1.577-1.601-1.607-1.599+2.15+13.853-2.638-2.139-1.07-1.065-3.74-2.671-0.53-0.315+20.626+3.123+3.131+3.131+3.141+1.87+3.133+3.122-0.635-1.2-3.123-1.87-1.26-2.52-3.131-6.252-1.871-0.009-3.133-6.26-0.612-3.122-3.76-4.354+20.702-8.172+20.361-1.26-0.64-3.085-1.851-0.001-1.234-3.085-3.085-3.085-10.63-3.085-1.851+0.001+13.129+7.49-6.865-1.255+20.788-3.149-0.63-3.16-0.63-4.4-1.26-1.89-1.895-1.25-1.89-0.63-0.614-0.635-0.005-1.88-3.744-2.5+21.197-1.29+8.806+11.953-4.403-0.645-0.64-0.628-1.926-0.634-0.011-3.85</f>
        <v>31.053999999999974</v>
      </c>
      <c r="F550" s="25">
        <v>137500</v>
      </c>
    </row>
    <row r="551" spans="1:6">
      <c r="A551"/>
      <c r="B551" s="30" t="s">
        <v>234</v>
      </c>
      <c r="C551" s="30" t="s">
        <v>490</v>
      </c>
      <c r="D551" s="30" t="s">
        <v>233</v>
      </c>
      <c r="E551" s="53">
        <f>5.23-2.33-2.9+3.93+1.06+0.5-3.93-1.06-0.505+0.005+4.171-1.61+2.552+2.512+4.77-1.98-1.325-0.43-2.552-2.192+3.76+2.23+2.67-1.035-0.715-0.43-1.34-2.67-3.76-0.324+0.004-0.89-0.31-1.175+0.069+20.716+11.893+8.781-0.601-0.63-0.63+0.63-0.63-1.255-3.136-0.63-0.63-0.63-3.14-5.685-1.88-1.25-6.29-2.5-2.515-0.635-0.614-6.248-0.667-1.25+23.931-0.575-0.575-3.973-2.86-0.01-2.83-0.01-0.58-0.537-3.438-4.009-3.435-1.099+9.354+1.976-0.332-2.396+1.06+3.556-0.656-3.63+20.733+11.914+4.4+4.394-1.406-0.978-0.988-0.586-0.548-1.775-0.027-1.89-8.168-2.52-2.52-0.628-0.002-0.574-0.628-1.26-1.874-0.619-0.027-0.63-2.52-0.68-0.63-1.89-0.53-0.627-0.003-0.63-2.52-1.89-0.581-0.049-0.63-1.246-2.455-0.683-3.071-0.694-0.53-0.566-0.63+0.074+19.851+1.655-0.62-1.235-17.996-0.32+0.002+4.015+1.155-1.73+19.765-0.555</f>
        <v>24.304999999999971</v>
      </c>
      <c r="F551" s="25">
        <v>142500</v>
      </c>
    </row>
    <row r="552" spans="1:6">
      <c r="A552"/>
      <c r="B552" s="30">
        <v>20</v>
      </c>
      <c r="C552" s="30" t="s">
        <v>491</v>
      </c>
      <c r="D552" s="30" t="s">
        <v>233</v>
      </c>
      <c r="E552" s="53">
        <f>4.77-2.66+3.36+3.34+0.6+1.07+4.74-3.34-1.095-0.6-1.69-0.57-0.55-4.19+0.05-1.085-0.55+0.075-0.6-1.07+2.69-0.005+2.95+2.35-2.35-0.595-1.34-2.37+0.015-0.69-0.68+0.02+1.13+3.91-1.13+4.295+4.3+4.297+4.297+4.292-1.435-4.3-4.292-0.725-4.295-4.297+3.576+3.576+2.14+3.58+3.572+3.573-2.235-0.565-1.43-3.58-3.573-2.137-0.013-3.576-2.15-3.576-0.697-1.422-0.03+0.03+10-0.562+3.877+4.526+4.521+4.522+3.874-1.93-0.555+0.007-3.232-0.645-3.894-1.931-2.582-0.645-2.587-1.294-0.627-1.94-0.013-5.105+16.456-0.675-2.445-0.602-3.047-3.047-1.221-3.047-3.047-0.575-3.37+20.124+1.413-2.879-2.874-0.72-2.87-0.72-1.438-0.713-2.158+20.736-2.16-2.146+0.686-2.858-1.435-1.413-0.686-0.714-0.006-2.158-0.712-1.429-0.001-0.715+20.059-0.713-0.715-0.001-0.004-0.71-1.431-1.43-1.428-0.709-0.002-0.004-2.143-1.429-0.006</f>
        <v>21.762999999999995</v>
      </c>
      <c r="F552" s="25">
        <v>137500</v>
      </c>
    </row>
    <row r="553" spans="1:6">
      <c r="A553"/>
      <c r="B553" s="30" t="s">
        <v>234</v>
      </c>
      <c r="C553" s="30" t="s">
        <v>491</v>
      </c>
      <c r="D553" s="30" t="s">
        <v>233</v>
      </c>
      <c r="E553" s="53">
        <f>1.47-1.47+1.06+4.18-1.06-0.52-2.085-1.057-0.538+0.02+2.41-2.41+4.13+3.49-1.02-0.97-0.5-4.13-1+1.419+11.352-0.71-11.352-0.011-0.698+14.51+2.898+2.901+1.449-1.45-2.898-0.73-1.453-0.719-1.46-0.73-0.725-2.17-0.725-0.725-2.182-0.723-1.446-3.634+0.012+18.707</f>
        <v>18.707000000000008</v>
      </c>
      <c r="F553" s="25">
        <v>142500</v>
      </c>
    </row>
    <row r="554" spans="1:6">
      <c r="A554"/>
      <c r="B554" s="30">
        <v>20</v>
      </c>
      <c r="C554" s="30" t="s">
        <v>492</v>
      </c>
      <c r="D554" s="30" t="s">
        <v>233</v>
      </c>
      <c r="E554" s="53">
        <f>4.49-0.56-0.565-0.56-0.005-1.115-0.568+0.398-0.572-0.564+0.019+4.44-0.556-0.556-0.41+0.019-0.55-0.007-0.555-0.56-1.666+0.003+4.75-0.58+4.81+4.685-0.6-0.6-0.604-0.605-0.605-1.213-0.6+0.052-0.61-1.81-0.608-0.608-0.6-0.58-0.55-0.6-0.6-0.588-0.6-0.019-1.164+0.047+7.37-1.226-1.22</f>
        <v>4.9240000000000004</v>
      </c>
      <c r="F554" s="25">
        <v>137500</v>
      </c>
    </row>
    <row r="555" spans="1:6">
      <c r="A555"/>
      <c r="B555" s="30">
        <v>20</v>
      </c>
      <c r="C555" s="30" t="s">
        <v>493</v>
      </c>
      <c r="D555" s="30" t="s">
        <v>233</v>
      </c>
      <c r="E555" s="53">
        <f>1.403+3.73+3.73-0.681-0.583+0.019+1.325-2.475+3.91-1.25-0.62-0.61-3.255-0.625-1.325-0.635+7.31-0.62-0.625-1.34-0.658+4.613+0.645-2.665-0.645-0.575-0.116-0.625-0.57-0.57-0.575-0.663+2.55-1.325-0.6-0.67-1.095-0.05+6.865+3.11+5.004-1.014-0.575+0.044-0.625-6.865-4.375-0.625-1.536-2.485-0.004+3.481+17.311-1.73-6.063-0.865-0.865-0.868-0.865-1.735-5.194+3.498+3.5+3.501+3.503+3.507+3.493-0.88-1.76-0.853-0.027-1.755-0.88-2.64-0.84-0.04-1.76-1.743-0.826-0.061-0.88-1.811-3.439-1.73-0.856-0.011-0.807-0.073+0.052+0.011+20.871-0.87-2.608-0.002-3.486-3.481-0.88-1.74-3.475-0.853-0.017+3.454+1.73+1.726+3.459+3.453+3.45+3.458-21.62-0.856-0.009+20.347-0.865-0.839-0.031-0.73-0.73-0.73-0.73-0.73-0.73-1.46-0.73-10.896-0.73+10.13-0.73+18.984+10.015</f>
        <v>40.626999999999995</v>
      </c>
      <c r="F555" s="25">
        <v>137500</v>
      </c>
    </row>
    <row r="556" spans="1:6">
      <c r="A556"/>
      <c r="B556" s="30" t="s">
        <v>234</v>
      </c>
      <c r="C556" s="30" t="s">
        <v>493</v>
      </c>
      <c r="D556" s="30" t="s">
        <v>233</v>
      </c>
      <c r="E556" s="53">
        <f>1.07-0.375-0.37+3.91+0.53-1.12-0.345-0.53-2.79+0.02+5.374-2.4-0.565+4.37+1.23-0.62-2.53-0.016-2.409-0.605-0.599-0.036-0.625+4.77-0.635-4.77+0.066+19.195-1.743-0.875-3.489-1.75-3.494-3.49+20.937-1.75-2.625-0.875-1.745-0.875-0.875-0.866-0.862-0.012-0.863-0.885-4.344</f>
        <v>8.7140000000000022</v>
      </c>
      <c r="F556" s="25">
        <v>156000</v>
      </c>
    </row>
    <row r="557" spans="1:6">
      <c r="A557"/>
      <c r="B557" s="30">
        <v>20</v>
      </c>
      <c r="C557" s="30" t="s">
        <v>494</v>
      </c>
      <c r="D557" s="30" t="s">
        <v>233</v>
      </c>
      <c r="E557" s="53">
        <f>3.04-0.615-0.61-0.605-0.605-0.61+0.005+2.7+2.69-1.345-2.7-1.345+2.42+3.05-0.605-3.05-0.6-0.62-0.61+0.015+2.61+2.62-2.61-0.66+3.525+1.47+0.69-3.525-1.47-0.69-1.31+8.405-1.21-1.175-0.65-2.408-1.82-0.608-1.185+0.001+4.34-1.86-1.255-1.23+0.005+7.765-0.785-0.785-0.78-0.775-3.88-0.76+3.57+3.559+3.572+3.56+3.578+3.575-3.572-0.895-0.9-3.56-1.764-0.026-1.79-1.79-0.9-0.888-0.007-0.9-0.895+10.54-0.9-0.895+8.736-0.875-0.885-0.015-0.875-0.86-0.895+0.063-1.75-1.76-0.89-0.89-1.74-0.875-2.625-0.87-0.865-0.871-0.886-0.097-0.77+5.03+10.771-0.9</f>
        <v>16.677999999999997</v>
      </c>
      <c r="F557" s="25">
        <v>146000</v>
      </c>
    </row>
    <row r="558" spans="1:6">
      <c r="A558"/>
      <c r="B558" s="30">
        <v>20</v>
      </c>
      <c r="C558" s="30" t="s">
        <v>495</v>
      </c>
      <c r="D558" s="30" t="s">
        <v>233</v>
      </c>
      <c r="E558" s="53">
        <f>8.055-1.46-1.17-0.73-2.92-1.175-0.6+2.86+2.85+4.085-0.71+0.66-0.71-1.43-0.66-1.44-0.71+4.88-1.645-1.635-0.71-0.815-0.815-3.27+0.025-0.845+0.035+1.35+3.37+3.385+6.91+3.37-1.35-0.68-4.13-1.34-0.695-0.67-0.69-0.665-0.7-2.03-1.345-3.385+0.005-0.71+5.63-0.81-1.585-0.81-0.815-0.83-0.81+0.03+9.886-1.005+9.59-8.94+0.059-1.08-1.07-1.065-1.08-0.375-1.075+2.425+1.075+1.64+0.78+4.855-0.827-2.437-1.07-3.195-0.005-0.817-0.69+0.04-0.813-0.002-0.818-0.8-0.78+1.2+4.12-0.81-0.51-0.39-3.61-1.628+0.003</f>
        <v>0.78099999999999936</v>
      </c>
      <c r="F558" s="25">
        <v>146000</v>
      </c>
    </row>
    <row r="559" spans="1:6">
      <c r="A559"/>
      <c r="B559" s="30">
        <v>20</v>
      </c>
      <c r="C559" s="30" t="s">
        <v>496</v>
      </c>
      <c r="D559" s="30" t="s">
        <v>233</v>
      </c>
      <c r="E559" s="53">
        <f>6.667-2.11-0.875-2.135-0.705+0.01+2.22+2.97-0.748-1.472-2.97-0.001-0.012+1.5+4.52-0.885+0.046+2.26+2.99-2.26+0.7-1.495-1.5-2.25-1.495-0.7-2.27+4.72-1.59-0.82-1.585+4.87-1.64-3.23-0.79+0.065+1.365-1.365+1.98+2.49-0.815-1.005-1+0.025-1.6-0.075+4.15+3.06-1.07-1.05+2.125+3.2+3.18-1.065-1.06-0.005-1.06-1.035+0.1-1.065-1.045-2.135-1.045-1.045-0.02-1.055-1.032-1.046+0.018+1.61+1.612+2.418+1.612+3.26+1.612-1.612-0.805-0.806+0.001-1.62-1.612-0.806-0.806-0.82-0.81-1.62-0.798-0.022+0.012+14.9-1.062-1.07-1.07-2.15-2.125-2.124-2.13-1.085-1.062-1.063+0.041</f>
        <v>-5.6968318951078345E-15</v>
      </c>
      <c r="F559" s="25">
        <v>146000</v>
      </c>
    </row>
    <row r="560" spans="1:6">
      <c r="A560"/>
      <c r="B560" s="30">
        <v>20</v>
      </c>
      <c r="C560" s="30" t="s">
        <v>497</v>
      </c>
      <c r="D560" s="30" t="s">
        <v>233</v>
      </c>
      <c r="E560" s="53">
        <f>8.4-4.51-0.905-0.902+0.005-0.735+2.77+2.9-1.08-1.69+3.17+2.36-0.805-2.9-2.375-2.36+0.01-0.9+0.017-0.485+0.015+5.35+5.345-0.9-3.585+4.88-0.91-2.685-0.895-4.88-0.86-0.04-0.9+0.08+4.87+4.95+4.97-0.81-0.83-0.825-0.832-0.825-0.839+0.004-0.825-0.82-2.472-0.82-0.822-0.828-1.668-0.818+0.005+1.06+6.36+1.054-1.06-1.054-0.82+0.055-1.054+9.964-2.12-1.01-1-0.995-2.995-0.98-1.005+4.875-0.812+5.254-1.055-0.813-2.01+0.031-0.805-0.82-1.06-1.05-1.06-2.116-0.81</f>
        <v>2.9139999999999997</v>
      </c>
      <c r="F560" s="25">
        <v>146000</v>
      </c>
    </row>
    <row r="561" spans="1:6">
      <c r="A561"/>
      <c r="B561" s="30" t="s">
        <v>234</v>
      </c>
      <c r="C561" s="30" t="s">
        <v>497</v>
      </c>
      <c r="D561" s="30" t="s">
        <v>233</v>
      </c>
      <c r="E561" s="53">
        <f>1.67+0.48-1.255+4.84+5.265-0.48-5.265-3.375-0.49-0.415-0.5+0.5-0.975-0.475+0.475+7.165-7.165+0.68+0.62+3.17+0.41-2.558-0.68-0.62-0.612-0.41+3.56+6.172-2.12-0.72-2.055-4.117-0.72+4.795-0.805-0.805-0.805-2.38+4.695+2.065+2.37-0.222-4.695-1.57-0.707-0.678-0.92+4.66</f>
        <v>4.9979999999999993</v>
      </c>
      <c r="F561" s="25">
        <v>169000</v>
      </c>
    </row>
    <row r="562" spans="1:6">
      <c r="A562"/>
      <c r="B562" s="30">
        <v>20</v>
      </c>
      <c r="C562" s="30" t="s">
        <v>498</v>
      </c>
      <c r="D562" s="30" t="s">
        <v>233</v>
      </c>
      <c r="E562" s="53">
        <f>3.04+3.04-0.76-0.76-2.295-1.52+0.636+2.3+3.87-0.76+0.015-1.545-0.782-0.786-0.755-2.315+0.013-0.64+0.004+6.33-1.59+0.795+1.59-0.795-0.785-0.795-0.8-3.175+0.02-0.795+3.37+3.35+3.355+8.14-0.812-1.634-3.35-2.432-0.82-2.24-0.825-1.64+0.023+8.572-1.12-0.01-2.235-0.96-0.95-1.12-1.912-1.905-2.875+0.03+10.554-2.111-0.014+0.014-3.18-1.06-1.06-2.1-1.065+0.022+10.805-2.17-8.64+0.005+8.95-0.806-0.805-4.052-2.442+7.664+2.192-0.83-0.015-1.1-2.2-3.3+5.822-1.11</f>
        <v>7.9680000000000026</v>
      </c>
      <c r="F562" s="25">
        <v>159000</v>
      </c>
    </row>
    <row r="563" spans="1:6">
      <c r="A563"/>
      <c r="B563" s="30">
        <v>20</v>
      </c>
      <c r="C563" s="30" t="s">
        <v>995</v>
      </c>
      <c r="D563" s="30" t="s">
        <v>233</v>
      </c>
      <c r="E563" s="53">
        <f>1.115+1.11+4.48+3.295-1.11-2.245-1.115-0.126-1.107-2.235+4.29-2.075+0.013+2.07-1.11-0.96-4.29</f>
        <v>0</v>
      </c>
      <c r="F563" s="25">
        <v>159000</v>
      </c>
    </row>
    <row r="564" spans="1:6">
      <c r="A564"/>
      <c r="B564" s="30">
        <v>20</v>
      </c>
      <c r="C564" s="30" t="s">
        <v>499</v>
      </c>
      <c r="D564" s="30" t="s">
        <v>233</v>
      </c>
      <c r="E564" s="53">
        <f>4.862-0.67-0.69-0.68-0.7-0.7+0.66+2.89+2.88-1.4-0.66-0.724-1.452-1.445-0.73+5.275+1.6+3.64-0.535-0.74-1.065-0.01-1.76-1.76-2.195-1.785-0.714-0.705-0.023+0.03-0.706+0.024+2.06+2.6-2.06-1.068-0.515-0.522-0.522+0.027-0.012+5.28-1.065-2.125-2.11+0.02+4.56-0.91+5.586-5.586-0.91+7.79+7.822-1.12-1.115-1.11</f>
        <v>15.007000000000001</v>
      </c>
      <c r="F564" s="25">
        <v>166000</v>
      </c>
    </row>
    <row r="565" spans="1:6">
      <c r="A565"/>
      <c r="B565" s="30">
        <v>20</v>
      </c>
      <c r="C565" s="30" t="s">
        <v>500</v>
      </c>
      <c r="D565" s="30" t="s">
        <v>233</v>
      </c>
      <c r="E565" s="53">
        <f>4.93-3.51-1.42+3.74+2.94+0.9-0.7+4.43-0.785-0.695-2.245-1.81-0.71-1.76-0.77-0.9-0.86-0.775+3.98+3.16-0.795-0.04-3.98-0.805-1.59+0.07+5.33-0.9-0.895+0.63+0.63+1.28+0.6+1.18-0.89+7.833-1.815-0.855+0.025-1.28-1.18-0.63-3.35-0.63-0.6-1.13-1.115-2.238+5.177+6.014-6.014-0.86+9.47-2.555-1.695-1.06-4.22-1.762-0.348+6.39-1.6-1.06+5.598-1.61-2.435-0.8+0.055-1.13-4.468-0.027-1.067+0.007+20.832-2.985+5.77-1.495+1.495-16.24-0.112-1.388-1.48-0.015+10.374</f>
        <v>14.756</v>
      </c>
      <c r="F565" s="25">
        <v>166000</v>
      </c>
    </row>
    <row r="566" spans="1:6">
      <c r="A566"/>
      <c r="B566" s="30" t="s">
        <v>234</v>
      </c>
      <c r="C566" s="30" t="s">
        <v>500</v>
      </c>
      <c r="D566" s="30" t="s">
        <v>233</v>
      </c>
      <c r="E566" s="53">
        <f>6.97-6.97</f>
        <v>0</v>
      </c>
      <c r="F566" s="25">
        <v>171000</v>
      </c>
    </row>
    <row r="567" spans="1:6">
      <c r="A567"/>
      <c r="B567" s="30">
        <v>20</v>
      </c>
      <c r="C567" s="30" t="s">
        <v>501</v>
      </c>
      <c r="D567" s="30" t="s">
        <v>233</v>
      </c>
      <c r="E567" s="53">
        <f>1.455-0.735-0.74+0.02+3.62+0.69+0.66-2.935-0.685-0.69-0.687+0.027+3.71+3.69-3.71-0.746-0.74-2.21+0.006+6.235+2.05+0.68+1.16+1.16-2.695+2.18-2.05-3.565+0.025-0.68-1.16-1.42-1.16-0.76+3.13-1.59+3.09+4.22-1.06-1.06-1.06-1.56+0.02-1.05-2.04-1.052+0.012+10.502-1.514-1.505-1.52-1.505+4.426</f>
        <v>8.8839999999999968</v>
      </c>
      <c r="F567" s="25">
        <v>166000</v>
      </c>
    </row>
    <row r="568" spans="1:6">
      <c r="A568"/>
      <c r="B568" s="28">
        <v>10</v>
      </c>
      <c r="C568" s="30" t="s">
        <v>502</v>
      </c>
      <c r="D568" s="30" t="s">
        <v>233</v>
      </c>
      <c r="E568" s="53">
        <f>2.805</f>
        <v>2.8050000000000002</v>
      </c>
      <c r="F568" s="25">
        <v>147500</v>
      </c>
    </row>
    <row r="569" spans="1:6">
      <c r="A569"/>
      <c r="B569" s="30">
        <v>20</v>
      </c>
      <c r="C569" s="30" t="s">
        <v>502</v>
      </c>
      <c r="D569" s="30" t="s">
        <v>233</v>
      </c>
      <c r="E569" s="53">
        <f>22</f>
        <v>22</v>
      </c>
      <c r="F569" s="25">
        <v>147500</v>
      </c>
    </row>
    <row r="570" spans="1:6">
      <c r="A570"/>
      <c r="B570" s="30" t="s">
        <v>234</v>
      </c>
      <c r="C570" s="30" t="s">
        <v>502</v>
      </c>
      <c r="D570" s="30" t="s">
        <v>233</v>
      </c>
      <c r="E570" s="53">
        <f>5</f>
        <v>5</v>
      </c>
      <c r="F570" s="25">
        <v>164000</v>
      </c>
    </row>
    <row r="571" spans="1:6">
      <c r="A571"/>
      <c r="B571" s="30">
        <v>20</v>
      </c>
      <c r="C571" s="30" t="s">
        <v>189</v>
      </c>
      <c r="D571" s="30" t="s">
        <v>233</v>
      </c>
      <c r="E571" s="53">
        <f>3.649-1.382-2.267+2.61+2.6-1.496-0.374-1.5+4.17+4.08-1.1-0.76+0.02-0.335-0.34-0.34-0.34-0.68-0.38-0.355-2.11-2.09+0.03-0.34-0.345+4.13+2.07-0.355-0.695-0.7+2.14+4.8+4.79+4.82-0.36+4.41+4.33+4.31-4.8-4.79-4.82-4.33-0.375-0.345-0.34-0.715-1.04+0.75-0.36+4.44+4.45+4.45+1.86+4.42-1.03+4.46-4.45-1.45-1.065-4.46-4.064-0.372-0.368-0.35-1.47-0.34+0.38+4.41+0.73+4.4-0.368-1.48-0.37-1.125-0.37-0.375+0.01-0.69-1.484-0.408-1.08-1.86-0.356-2.974-0.375-0.38-2.93-4.4-2.9-2.5-0.378-0.635-0.4+0.115-0.008-0.01+3.13+3.505+3.485-0.782-1.545+3.57+3.56+3.57-3.57-3.56-0.355-1.96-3.485-1.566-1.432-0.356-0.39-0.358+4.44+3.48+1.76+7.688-0.4+0.008+1.63+3.654+1.22+3.258-0.355-3.48-0.705-0.355-0.355-0.35-0.355-2.43-4.045-0.362-0.718+0.011-0.35-0.35-0.345-0.36-0.7-1.63-3.258-0.36-7.347</f>
        <v>0</v>
      </c>
      <c r="F571" s="25">
        <v>147500</v>
      </c>
    </row>
    <row r="572" spans="1:6">
      <c r="A572"/>
      <c r="B572" s="30" t="s">
        <v>234</v>
      </c>
      <c r="C572" s="30" t="s">
        <v>189</v>
      </c>
      <c r="D572" s="30" t="s">
        <v>233</v>
      </c>
      <c r="E572" s="53">
        <f>3.22+2.9-2.9-0.322-0.326+4.5+4.51+1.44-0.376-0.37-0.37-1.13-0.375-0.37-2.572-2.619-4.51-0.34+0.01+4.05+3.69+3.9+3.82-0.692-0.37-3.68-2.565-0.035+4.82+4.78-1.09-3.9-3.128-4.82-4.78+4.55+4.61+0.63+3.76+4.07+4.14+3.34-0.35-0.665-0.63-4.55-0.343-3.067-2.358-0.338-1.985-0.345-1.7-2.046-0.342-0.33-1.364-0.352-0.357-0.394-1.629-1.96+0.005+2.93+1.35+1.05-2.93-1.35-1.05+1.83+0.38+1.15+2.36+3.49+3.49+2.75-3.49-1.85-3.49-2.75-1.83-0.38-1.15-0.51+3.4+4.47+1.71+0.92-0.336-0.33+3.53+0.27+4.54-0.342+2.3-0.35-0.355-0.933-2.392-4.47-1.71-2.3-2.825-0.27-4.54+0.013+4.51+4.51+3.5+0.36-0.36-4.51-4.51-3.5+1.024-0.342-0.69+0.008+2.12+2.61+1.26+2.12+2.11-0.63-2.11-1.335-2.61-2.12-1.26-0.155+0.64+0.34+1.39+0.71+4.58+3.14-1.39-0.64-8.77+7.62+0.9+2.79+0.82+2.47+0.82-0.805-2.97-1.13-0.42+5.2-1.175-0.41+4.03+1.7-0.341-3.689-1.363-0.341+0.004-0.82-4.11-0.41-2.385-0.03-5.955</f>
        <v>7.9936057773011271E-15</v>
      </c>
      <c r="F572" s="25">
        <v>164200</v>
      </c>
    </row>
    <row r="573" spans="1:6">
      <c r="A573"/>
      <c r="B573" s="30">
        <v>20</v>
      </c>
      <c r="C573" s="30" t="s">
        <v>503</v>
      </c>
      <c r="D573" s="30" t="s">
        <v>233</v>
      </c>
      <c r="E573" s="53">
        <f>4.12+4.1+2.77-0.456+4.24+2.99+1.3+2.02-0.412-3.252-4.1-2.77-4.24-0.433-1.6-0.957-1.173-0.86+19.36-0.44+3.47+0.4+3.38+3.46-0.428-2.95-0.42+4.58+4.16+4.16+2.45-2.18-0.86-0.409-11.43-2.594-3.59-0.405-0.45-0.127-0.293+0.001-0.418-1.214-0.422-0.4-0.038-0.418-0.426-0.83-0.45-0.89+0.04-0.836-0.418-0.416-2.91-0.458-0.838-0.868-1.248-0.423-0.42-0.417-0.058-0.332-0.023-0.002-0.045-0.412-0.832-0.416+2.58+2.54+3+2.15-0.737-0.097-0.865+0.01+2.004+1.504+2.004+2.034+2.538-0.43-0.42-1.305-0.43-0.845-0.005-0.422-1.28-0.43-1.02-0.984-1.504-0.562-0.43-0.42-2.57-0.918-0.273-0.064+0.047+4.6+0.42+1.23-0.422-0.43-0.01-0.43-0.84-0.41-0.015-1.26-0.43+0.045-0.837-2.078-0.42-1.002-0.426+0.033-2.546-2.034-0.44+0.008</f>
        <v>6.1547988927657116E-15</v>
      </c>
      <c r="F573" s="25">
        <v>147500</v>
      </c>
    </row>
    <row r="574" spans="1:6">
      <c r="A574"/>
      <c r="B574" s="30" t="s">
        <v>234</v>
      </c>
      <c r="C574" s="30" t="s">
        <v>503</v>
      </c>
      <c r="D574" s="30" t="s">
        <v>233</v>
      </c>
      <c r="E574" s="53">
        <f>10.005-1.654-4.16-0.83-0.44-0.417-1.235+2.87+2.86-1.43-0.45-0.485-0.412-0.435-2.87-0.96+0.028+0.015+2.77+3.25+1.35+3.88+2.98+3.36-3.25-1.84-2.094-0.93-1.35-1.786-2.98-3.36+3.39+2.84+3.82+4.38+1.99+4.42-0.295-0.3-1.765-0.885-3.39-1.455-0.595-4.38-1.69-2.655+2.62+4.56+3.03+0.45-0.45-0.31-0.28-0.01-1.15+5.43-0.45-0.44-0.41-4.1-0.45-0.44-0.45-0.92-0.45-0.465-0.436+0.006-0.46-0.485-1.72-1.4-0.445-1.38-0.44-0.395-0.045+3.26+2.34+3.145+1.272+2.15+2.6-0.47-0.455-0.895-0.46-1.335-0.845-0.47-0.251-10.307-0.465+12.785-0.435</f>
        <v>12.708999999999994</v>
      </c>
      <c r="F574" s="25">
        <v>164200</v>
      </c>
    </row>
    <row r="575" spans="1:6">
      <c r="A575"/>
      <c r="B575" s="28">
        <v>10</v>
      </c>
      <c r="C575" s="30" t="s">
        <v>504</v>
      </c>
      <c r="D575" s="30" t="s">
        <v>233</v>
      </c>
      <c r="E575" s="53">
        <f>2.114+3.478</f>
        <v>5.5920000000000005</v>
      </c>
      <c r="F575" s="25">
        <v>147500</v>
      </c>
    </row>
    <row r="576" spans="1:6">
      <c r="A576"/>
      <c r="B576" s="30">
        <v>20</v>
      </c>
      <c r="C576" s="30" t="s">
        <v>504</v>
      </c>
      <c r="D576" s="30" t="s">
        <v>233</v>
      </c>
      <c r="E576" s="53">
        <f>3.61+3.62-0.516-1.035+2.58+2.6-1.038-1.037-0.518-0.52-0.52-0.53-0.52+2.74+2.76-0.501-0.014-0.515-0.56-0.512-0.518-1.1-0.52+0.016+2.62+2.61-0.518-1.034-1.045-0.516-0.565-0.512-0.56-0.515-1.635-0.01-0.535-0.494-0.026+0.002-1.1-0.525-1.055-0.475-0.05-1.04-0.525+0.05+0.001+3.4+3.39+3.4-2.266-0.575-1.126-0.57-3.4-0.57-1.124-0.011-0.57+0.022+4.42+4.36+1.46-1.46-0.975-0.975-0.48-0.48-0.975-1.45+0.53-0.495-0.495-1.93+3.01-0.53+5.98+1.185+2.93-2.405-1.2+2.39-0.605-1.185+2.96+1.05+3.29+3.28-0.59-0.492-1.636-1.1+3.23+3.23+3.73-2.96-1.19-2.206-1.15-0.525-1.92-0.605-1.89-0.548-0.558-0.554-0.536+0.01-1.195-0.465-0.94-0.465-0.6-0.595-1.85-0.605-1.205+14.52-1.825-0.583-0.47-0.91-0.025-2.44+0.575-0.59-1.175-0.615+4.17+1.03+1.02-0.455-1.57-1.02-0.41-0.52+0.13-1.22-1.215-1.2-0.018-0.602-1.197-1.237-1.03-1.22-0.527-1.23-2.095+0.067+0.022-0.585</f>
        <v>0.57499999999999973</v>
      </c>
      <c r="F576" s="25">
        <v>147500</v>
      </c>
    </row>
    <row r="577" spans="1:6">
      <c r="A577"/>
      <c r="B577" s="30" t="s">
        <v>234</v>
      </c>
      <c r="C577" s="30" t="s">
        <v>504</v>
      </c>
      <c r="D577" s="30" t="s">
        <v>233</v>
      </c>
      <c r="E577" s="53">
        <f>2.59+2.62-2.59-2.62+3.2+3.24-0.528+4.06+0.96-2.03-1.61-1.01+2.85+2.35-2.14-1.392-0.548-0.545-0.54-0.514-0.555-1.458-2.35-0.5+0.02-0.5-0.46+2.07+2.62-2.07-2.62+1.47+2.25+1.46+2.85+2.88+0.9-0.425-1.47-0.077-0.435-1.332-0.482+0.019-0.483-2.4-2.85-0.48+3.59+3.12+1.5+1.52-2.595-1.52-1.895-0.495-3.12-1.5+3.07+1.98+0.49+10.68-2.035-0.51-0.525-0.515-8.58</f>
        <v>4.0549999999999979</v>
      </c>
      <c r="F577" s="25">
        <v>161000</v>
      </c>
    </row>
    <row r="578" spans="1:6">
      <c r="A578"/>
      <c r="B578" s="24">
        <v>20</v>
      </c>
      <c r="C578" s="30" t="s">
        <v>505</v>
      </c>
      <c r="D578" s="30" t="s">
        <v>233</v>
      </c>
      <c r="E578" s="53">
        <f>4.39+4.38-1.895-1.865-1.884-1.875-0.628+4.81-0.58-1.07-0.002-0.621-1.6-1.59+0.03+4.25+4.23-1.067-2.67-1.06-1.065-1.592-0.513-0.022-0.525+0.034+4.73+4.66+0.52-2.08-3.626-2.12-0.53-0.52+5.21+4.705-1.04+0.006-0.525+4.15+4.15+2.06-1.58-4.15-2.06-1.038-1.042-0.52-0.062-1.04-0.462+0.014+6.345+6.321-0.525-2.065-1.25-0.515-0.525-2.54-0.635-0.525-1.045-1.89-0.006+4.548-0.66+9.856-1.305-0.702-0.7-2.84-0.701-1.415-0.705-0.71-0.705-0.53-4.446-1.398-0.705-0.485+0.02-2.08-0.636-1.43+0.037</f>
        <v>1.2630000000000023</v>
      </c>
      <c r="F578" s="25">
        <v>155500</v>
      </c>
    </row>
    <row r="579" spans="1:6">
      <c r="A579"/>
      <c r="B579" s="30">
        <v>20</v>
      </c>
      <c r="C579" s="30" t="s">
        <v>506</v>
      </c>
      <c r="D579" s="30" t="s">
        <v>233</v>
      </c>
      <c r="E579" s="53">
        <f>16.935-0.785-0.784-2.31-1.525+4.06+4.06+1.626-1.56-1.55-0.82-0.268-3.125-1.66-0.82-0.795-1.615-0.82+5.22-0.766+0.238-0.815-0.785-0.495-0.02-0.22-0.815-1.732-0.6-0.81</f>
        <v>6.6439999999999966</v>
      </c>
      <c r="F579" s="25">
        <v>147500</v>
      </c>
    </row>
    <row r="580" spans="1:6">
      <c r="A580"/>
      <c r="B580" s="30" t="s">
        <v>234</v>
      </c>
      <c r="C580" s="30" t="s">
        <v>506</v>
      </c>
      <c r="D580" s="30" t="s">
        <v>233</v>
      </c>
      <c r="E580" s="53">
        <f>0.52-0.52+4.57-0.51-0.52-2.04-1.5+2.94+2-2.94-1.02+2.44+2.5-0.483-0.492-0.98-1.465-2.52+0.02+7.295</f>
        <v>7.2949999999999999</v>
      </c>
      <c r="F580" s="25">
        <v>164200</v>
      </c>
    </row>
    <row r="581" spans="1:6">
      <c r="A581"/>
      <c r="B581" s="30">
        <v>20</v>
      </c>
      <c r="C581" s="30" t="s">
        <v>1056</v>
      </c>
      <c r="D581" s="30" t="s">
        <v>233</v>
      </c>
      <c r="E581" s="53">
        <f>11.094-3.186-0.795+4.945+4.205-4.945+0.67-0.79-4.205-0.67-6.34+0.017+5.925+5.87+1.735+0.545-5.305-2.98-0.6-5.24+0.05+4.31+4.38+1.18-1.18</f>
        <v>8.6899999999999977</v>
      </c>
      <c r="F581" s="25">
        <v>156000</v>
      </c>
    </row>
    <row r="582" spans="1:6">
      <c r="A582"/>
      <c r="B582" s="30" t="s">
        <v>234</v>
      </c>
      <c r="C582" s="30" t="s">
        <v>1056</v>
      </c>
      <c r="D582" s="30" t="s">
        <v>233</v>
      </c>
      <c r="E582" s="53">
        <f>2.298</f>
        <v>2.298</v>
      </c>
      <c r="F582" s="25">
        <v>161000</v>
      </c>
    </row>
    <row r="583" spans="1:6">
      <c r="A583"/>
      <c r="B583" s="30">
        <v>20</v>
      </c>
      <c r="C583" s="30" t="s">
        <v>507</v>
      </c>
      <c r="D583" s="30" t="s">
        <v>233</v>
      </c>
      <c r="E583" s="53">
        <f>1.19+1.73+4.72+1.77+1.27-4.72-0.576+3.72-1.48+3.585+3.65+11.23+7.365+3.716+3.696-1.46+3.712-1.27-1.495-3.74-3.73-2.22-0.74-2.15-0.01-2.24-0.745-0.588-2.16-0.585-0.58-2.216-0.614-0.92-1.475-6.57-1.48-0.005-1.562-3.585-0.6-0.735+0.065-0.021-0.002-0.565-0.592+0.012+3.43+3.43+3.41-1.375-1.37+3.53+5.725+5.01+4.97-1.365+7.745+7.805+1.42+1.43+5.505+9.345+9.12+3.59+7.9-7.805-1.42-1.43-3.59-0.69-1.37-1.438-2.145-0.7+18.04-1.385+2.915+0.955+3.375-1.38+3.87-0.695+3.41+4.21+0.94-4.2-5.725-5.01+0.81+0.81+0.81-1.385-0.795+0.025+0.81+5.65+5.63-0.69+5.505-0.955-0.81-1.38-15.805-2.152-0.81-5.65-5.63-16.347-1.37-7.9-7.193+0.695-0.706-1.36-0.02-16.66-1.41-1.42+4.73+5.56-0.665-0.705-0.722+0.03-5.56-4.73-4.96+0.098-0.665+34.48+6.896-19.83-0.006-1.738+18.96-19.815-0.014-1.755-2.59-15.283+6.28+2.548-2.548-6.28+19.5-19.5+5.756+5.786+4.97-0.83-4.98+56.321-0.673-12.65-7.296-0.828-19.135+0.03+0.026-0.64-4.926-0.034-1.64-1.32-0.772-0.058-1.684+0.006-0.83</f>
        <v>14.599000000000007</v>
      </c>
      <c r="F583" s="25">
        <v>147500</v>
      </c>
    </row>
    <row r="584" spans="1:6">
      <c r="A584"/>
      <c r="B584" s="30">
        <v>20</v>
      </c>
      <c r="C584" s="30" t="s">
        <v>1069</v>
      </c>
      <c r="D584" s="30" t="s">
        <v>233</v>
      </c>
      <c r="E584" s="53">
        <f>10.12-1.02-2.025-5.105-2+0.03+5.23+5.21-1.48-3.72-2.235</f>
        <v>3.0049999999999986</v>
      </c>
      <c r="F584" s="25">
        <v>156000</v>
      </c>
    </row>
    <row r="585" spans="1:6">
      <c r="A585"/>
      <c r="B585" s="30">
        <v>20</v>
      </c>
      <c r="C585" s="30" t="s">
        <v>1070</v>
      </c>
      <c r="D585" s="30" t="s">
        <v>233</v>
      </c>
      <c r="E585" s="53">
        <f>10.82-1.09-1.085-4.335-1.08-3.245+0.015</f>
        <v>-5.6898930012039273E-16</v>
      </c>
      <c r="F585" s="25">
        <v>156000</v>
      </c>
    </row>
    <row r="586" spans="1:6">
      <c r="A586"/>
      <c r="B586" s="30">
        <v>20</v>
      </c>
      <c r="C586" s="30" t="s">
        <v>508</v>
      </c>
      <c r="D586" s="30" t="s">
        <v>233</v>
      </c>
      <c r="E586" s="53">
        <f>4.771-2.36-0.735-0.01-0.82+0.015-0.795-0.066+2.32+3.1-0.79-0.775-0.785-0.785-0.77+3.59+2.87+3.57+0.68+0.02-0.67-0.72-3.57-2.87-2.15-0.72-0.01-1.54+0.005+4.945+4.99+4.29+0.67-1.44-3.33-0.67-0.84-0.715-2.135+4.115-4.115-1.42+0.82-1.44-0.715-0.71-0.785-0.82-0.725+0.01+0.02+3.558+3.684+3.256+4.29-2.745-1.58-1.07-1.075-0.91-1.074-0.003-1.071-0.945-1.684-0.813-1.191-0.627+5.115+5.12-2.06+5.09-1.035-2.045-0.102-1.04-3.055-0.106-1.02-1.02-2.04-0.762-0.03+2.45+8.215-0.8-1.025+0.015+5.032-0.03-0.8-2.51+0.03-0.835-3.335+0.065-0.825-1.005-1.655+0.03-0.99-1.015-1.015-1.007+10.34-1.035-1.03-0.1-2.118-1.065-0.915-1.025-2.045-1.035+0.028+6.15+4.104-2.06-1.02-2.04-2.05+6.335+0.735-1.03+3.245-0.807-0.822-1.04-0.816-2.435-2.425-1.014+0.012-2.277-0.735-0.01+7.72-1.94-0.66</f>
        <v>5.1199999999999974</v>
      </c>
      <c r="F586" s="25">
        <v>147500</v>
      </c>
    </row>
    <row r="587" spans="1:6">
      <c r="A587"/>
      <c r="B587" s="30">
        <v>20</v>
      </c>
      <c r="C587" s="30" t="s">
        <v>509</v>
      </c>
      <c r="D587" s="30" t="s">
        <v>233</v>
      </c>
      <c r="E587" s="53">
        <f>0.945+3.855+1.96+3.945-1.005-0.89-0.945-1.96-1.96-0.075-1.975-1.02-0.942+0.067+2.75+1.67+1.53+0.449+3.035+2.075+3.62+2.7-0.9-2.75-1.67-0.91-0.915-0.895-1.035-3.035-2.7-1.53-0.125-0.915-0.45+0.001+3.94+3.765-2.845-1.095-3.83+0.065+0.82+4.14+1.35+2-3.448+4.885+4.78+4.775+0.81+4.005+3.255-0.81+4.82-1.64+1.585-1.63+0.015-2.47-2-4.005+2.89-0.815-0.975-0.825+0.815-0.82-0.965-0.82-2.37-0.815-0.805-0.692-0.807-0.81+0.04-1.615-0.785-0.95+0.03-1.62-3.16-0.005-1.603-1.585-0.012+0.795-1.338-0.832+0.012-0.795+2.57+2.02+1.66+3.01+0.49-1.012-0.702+1.12+5.615+1.13-0.75+2.245-1.27-0.856-3.029-0.49-1.66-3.365+0.019-1.13-1.12+5.295-1.13+4.24+5.28-2.135-2.105-1.12-1.065-1.06-1.065-2.245-1.065-1.065+0.035-2.115-1.05-1.065+10.795-3.265-3.225+4.765+4.84-1.075+1.635+10.574-1.075-1.635-0.852-1.555-1.055-2.12-1.045-2.12-1.05-1.597</f>
        <v>11.999999999999988</v>
      </c>
      <c r="F587" s="25">
        <v>169300</v>
      </c>
    </row>
    <row r="588" spans="1:6">
      <c r="A588"/>
      <c r="B588" s="30">
        <v>20</v>
      </c>
      <c r="C588" s="30" t="s">
        <v>510</v>
      </c>
      <c r="D588" s="30" t="s">
        <v>233</v>
      </c>
      <c r="E588" s="53">
        <f>9.342-2.32-0.67-0.685+0.015-0.782-0.68-1.43-0.01-0.684+0.032-1.072-1.074+0.018+4.365+4.81+1.11+0.975-2.18-1.11-0.975-1.09-1.11+0.015+5.985+4.955+3.24+4.05+1.01-1+1-1-1.01-0.824-1-3.99-1.005-1.014+0.019-1.604-0.81-0.002-0.808-4.81-3.242-1-1-1+0.05+4.05+2.7+1.14+0.88-4.05-2.016-1.14-0.684-0.88+3.36+3.38+3.37-2.245-1.125-3.36-2.26-1.12+3.35+4.374+2.246+2.28+3.314-2.246-3.35-4.374-3.314-0.117-2.26+0.097+15.162-2.16-1.075-2.165-2.168-1.085-1.085-4.32+10.8-1.085-2.165-1.083-3.23-1.091-1.095-1.051-0.024-1.09+0.01+1.09+4.918+5.176-1.3-1.09</f>
        <v>8.7939999999999987</v>
      </c>
      <c r="F588" s="25">
        <v>169300</v>
      </c>
    </row>
    <row r="589" spans="1:6">
      <c r="A589"/>
      <c r="B589" s="30">
        <v>20</v>
      </c>
      <c r="C589" s="30" t="s">
        <v>996</v>
      </c>
      <c r="D589" s="30" t="s">
        <v>233</v>
      </c>
      <c r="E589" s="53">
        <f>2.23+5.56+2.22-1.125-1.115</f>
        <v>7.77</v>
      </c>
      <c r="F589" s="25">
        <v>164000</v>
      </c>
    </row>
    <row r="590" spans="1:6">
      <c r="A590"/>
      <c r="B590" s="30">
        <v>20</v>
      </c>
      <c r="C590" s="30" t="s">
        <v>511</v>
      </c>
      <c r="D590" s="30" t="s">
        <v>233</v>
      </c>
      <c r="E590" s="53">
        <f>4.285+1.08-1.08-1.06-1.1-2.145+0.02+2.46+3.14+1.44-1.44-1.278-3.14-0.605-0.592+0.015+2.7+1.32+2.62-2.62+6.515-1.32-2.18-1.085-0.66-1.095-1.085-2.04-1.095+0.025+3.366+3.348-1.125-3.372-1.12+0.024-1.105-0.016+7.395-1.045+3.18-1.06-1.06-1.075-4.24+4.474+7.534-1.06+0.01-2.98+10.66-3.06-1.525-1.545-1.51-1.52-1.51-1.5-1.528-1.515-1.535-1.51+0.038-1.045-1.439-0.101+0.072</f>
        <v>3.4694469519536142E-16</v>
      </c>
      <c r="F590" s="25">
        <v>169300</v>
      </c>
    </row>
    <row r="591" spans="1:6">
      <c r="A591"/>
      <c r="B591" s="30">
        <v>20</v>
      </c>
      <c r="C591" s="30" t="s">
        <v>512</v>
      </c>
      <c r="D591" s="30" t="s">
        <v>233</v>
      </c>
      <c r="E591" s="53">
        <f>4.72+4.775+4.84-0.79-0.785-2.425-1.58+3.64+3.65+0.63-1.216-1.16-2.915-0.79+5.13-0.735-0.78+0.005-1.445-1.21-2.195-2.2-0.63-2.93-1.214+8.505+7.46-1.215-1.134-0.066+0.025+1.93+1.99+0.62-1.07-0.62-1.078-3.19-1.075-1.08-1.296-2.16-2.135-0.634-1.99-1.012-3.246+0.081+5.585+10.096-3.375-1.13-1.135-1.125-1.117-1.12+5.05+3.375-3.335-5.05-1.12-3.375-0.001-2.225+0.002+3.37+2.23+2.245+3.324+2.23+2.226-2.245-3.324-2.23-1.13-1.115-2.226-1.134+10.6-2.221-1.525-1.515+7.54-3.02+7.613-3.035-1.535-1.52+0.015-3.07-1.525</f>
        <v>9.0229999999999979</v>
      </c>
      <c r="F591" s="25">
        <v>147500</v>
      </c>
    </row>
    <row r="592" spans="1:6">
      <c r="A592"/>
      <c r="B592" s="30">
        <v>20</v>
      </c>
      <c r="C592" s="30" t="s">
        <v>513</v>
      </c>
      <c r="D592" s="30" t="s">
        <v>233</v>
      </c>
      <c r="E592" s="53">
        <f>4.74+1.185+1.185-1.185-2.38+0.72-1.185-0.72-1.19+0.005-1.2+0.025+2.36+3.17+4.785-0.79-0.79-0.805-1.21-0.798-1.19-0.79-0.78-0.01-1.21-0.79-1.21+0.023+0.035+5.615+4.51-1.14-1.14-1.145-1.125-2.28-1.125-1.11-1.14+0.03+0.05+7.562+7.522-6-1.522-1.525-1.52-2.955-0.07+15.946-1.492-0.033-1.57-1.6-1.58-1.585+1.585-1.6-1.58-0.005-1.61</f>
        <v>6.3680000000000039</v>
      </c>
      <c r="F592" s="25">
        <v>166000</v>
      </c>
    </row>
    <row r="593" spans="1:6">
      <c r="A593"/>
      <c r="B593" s="30">
        <v>20</v>
      </c>
      <c r="C593" s="30" t="s">
        <v>797</v>
      </c>
      <c r="D593" s="30" t="s">
        <v>233</v>
      </c>
      <c r="E593" s="53">
        <f>10.591-0.014-0.26-1.278+10.15-2.332-0.224-1.7-0.64-0.34-0.34-1.37+10.218-0.338-0.64-0.338-6.4-5.05-9.211+2.68+2.94+2.64-0.54-0.54-0.27+2.79+1.76+1+0.8-0.275-0.266-0.26+10.005-2.68-1.07-0.245-0.025-1.1-0.275+0.001-0.14-0.12+0.107-1.76-1-0.772-0.253-0.258-0.815-0.275-6.95-1.525-1.09-0.256+11.758-1.28+0.029</f>
        <v>12.953999999999999</v>
      </c>
      <c r="F593" s="25">
        <v>147500</v>
      </c>
    </row>
    <row r="594" spans="1:6">
      <c r="A594"/>
      <c r="B594" s="30">
        <v>20</v>
      </c>
      <c r="C594" s="30" t="s">
        <v>514</v>
      </c>
      <c r="D594" s="30" t="s">
        <v>233</v>
      </c>
      <c r="E594" s="53">
        <f>1.62+3.35+2.32+2.6-0.725-0.77-0.74-0.33-0.8-1.62-0.725-2.32-1.895+0.035+1.84+3.77+3.37+1.05-0.765-3.37-0.34-1.84-0.385+3.7+0.79-0.414+3.75+2.54+2.89+1.44-3.75-2.54-2.89-2.62-1.44-3.286-0.799-0.355+0.009-0.355+0.83+2.95+3.38+3.36-1.67-3.38-3.36-1.265-0.41+0.795-0.42-0.015+3.165-0.4-0.912+4.04+3.65+3.155+3.81+3.77+2.98-3.65-0.92-1.785-3.81-0.38-0.38-3.01-2.98-0.405-1.815-1.23-0.415+0.375+11.595-0.41-0.4+15.626-0.435-0.001-0.009-1.21-1.735-0.01-1.74-2.17-0.02-0.872-0.87-0.88+9.3-0.44-3.56-0.356-0.45-0.44-0.86-0.45+0.012+0.428-0.39-0.395-0.428-0.436-0.006</f>
        <v>21.636000000000003</v>
      </c>
      <c r="F594" s="25">
        <v>147500</v>
      </c>
    </row>
    <row r="595" spans="1:6">
      <c r="A595"/>
      <c r="B595" s="30" t="s">
        <v>234</v>
      </c>
      <c r="C595" s="30" t="s">
        <v>514</v>
      </c>
      <c r="D595" s="30" t="s">
        <v>233</v>
      </c>
      <c r="E595" s="53">
        <f>3.55+1.49-1.785+2.51+2.35+3.32+2.19+1.23+3.48-0.715-0.755-0.862-1.05-0.735-3.32-2.19-1.23-3.48+2.55-0.428+0.3+3.18+2.84+2.11-3.18-0.365-1.145-0.335-0.432-0.435-0.366-0.295-0.418-0.285-0.855-0.57-1.965-0.01-0.84-0.865+1.12-0.016-0.404+0.011-1.12-0.3-0.57-0.91+3.1+2.77+1.72+0.35+1-3.1-2.77-1.72-0.35-1+2.4+3.2+3.73-3.2-3.73+3.78+2.21+2.31+2.32-2.06-0.344+0.004-3.78-0.442-0.888+1.99+1.47+2.41+2.5+1.1-0.995+1.56+1.58+0.81+0.82+3.5+4.44+2.27-1.175-1.47-0.885-2.31-2.32+0.005-3.5-4.44-2.27-2.41-0.83-0.82-0.995-1.56-0.405-0.81-1.67-1.115+0.015+3.43+3.75+3.06+1.71-2.414-0.348-0.348-0.35-0.686-0.344-0.32-2.37-3.06-1.07-0.343-0.343+0.046+20.05-1.41-3.89-2.39-0.36-3.58-3.39-2.58-0.34-2.11+0.36+0.39+3.04+3.7+2.89+8.93-1.75-0.36-8.93-1.04-0.675+1.02+1.05+1.58+2.36+2.72+0.99-1.39-0.4-0.338-0.325-1.697-2.379-0.34-0.39</f>
        <v>9.0160000000000036</v>
      </c>
      <c r="F595" s="25">
        <v>164200</v>
      </c>
    </row>
    <row r="596" spans="1:6">
      <c r="A596"/>
      <c r="B596" s="30">
        <v>20</v>
      </c>
      <c r="C596" s="30" t="s">
        <v>798</v>
      </c>
      <c r="D596" s="30" t="s">
        <v>233</v>
      </c>
      <c r="E596" s="53">
        <v>5.5164206536062466E-16</v>
      </c>
      <c r="F596" s="25">
        <v>156000</v>
      </c>
    </row>
    <row r="597" spans="1:6">
      <c r="A597"/>
      <c r="B597" s="30">
        <v>20</v>
      </c>
      <c r="C597" s="30" t="s">
        <v>127</v>
      </c>
      <c r="D597" s="30" t="s">
        <v>233</v>
      </c>
      <c r="E597" s="53">
        <f>0.42+4.67-0.42-1.88+2.66+2.57-0.442-0.45-0.43-1.402-0.418-1.398+0.01+2.9+2.27-2.27-2.57-0.483-2.9-0.437+3.825+3.3+3.295-3.3-1.1+2.285+1.135+2.87+4.49+4.5+1.32-0.57-4.02-2.725-0.555-0.47-1.81-1.1-0.875-0.445-0.01-0.565-0.575-0.46-1.73-0.57-0.45-0.575-0.455+2.85+2.764+5.188-2.28-1.142-0.455-0.455-0.11-0.34+0.055+0.455-1.16-1.715-0.58+0.01-0.55-0.545-0.005-0.525-0.015-2.31-1.135-0.565</f>
        <v>2.0949999999999975</v>
      </c>
      <c r="F597" s="25">
        <v>159100</v>
      </c>
    </row>
    <row r="598" spans="1:6">
      <c r="A598"/>
      <c r="B598" s="30" t="s">
        <v>234</v>
      </c>
      <c r="C598" s="30" t="s">
        <v>127</v>
      </c>
      <c r="D598" s="30" t="s">
        <v>233</v>
      </c>
      <c r="E598" s="53">
        <f>2.99+2.51-2.99-0.845-1.686+0.021+2.99+2.01+3.7+4.1+0.44+0.42+0.9+0.45-4.1-0.44-0.48-0.91-2.01-1.864-0.456+0.01-2.99-0.42-0.9-0.45+1.27+2.52+1.47-0.99-1.27-0.28-0.202+0.54+0.51-1.008+1.86+2.38-0.04-1.47-0.51-0.54-1.86-2.38+1.43+1.85+1.82+0.45+4.1+4.13-1.43-1.82-0.522-0.506-0.465-3.635-1.385-0.522-2.03-0.52-0.002-0.528+0.035-0.45+3.94+2.91+0.48+3-3-3.435-2.005-0.48-0.505-0.905+10.24-1.53+0.4-0.445+0.045-1.54-2.05-1.55</f>
        <v>3.5699999999999994</v>
      </c>
      <c r="F598" s="25">
        <v>152500</v>
      </c>
    </row>
    <row r="599" spans="1:6">
      <c r="A599"/>
      <c r="B599" s="30">
        <v>20</v>
      </c>
      <c r="C599" s="30" t="s">
        <v>799</v>
      </c>
      <c r="D599" s="30" t="s">
        <v>233</v>
      </c>
      <c r="E599" s="53">
        <f>5.576-3.76-1.25-0.6+0.034+1.02+4.14+0.95-0.507-3.025-0.513-1.115-0.982+0.032+4.56+0.6-0.6-1.75-0.545+3+3.69+3.82-2.415-0.574-0.59-0.532-1.105-1.854-0.64-0.568-1.068-1.15-0.57-0.53+1.68-0.504-0.658-0.006-0.011+0.54-0.555-0.54-0.55+2.61-1.565-0.01-1.045-0.565+3.01+3.02+4.13-1.18-3.02-4.13-0.662-1.18+0.012+6.815-6.815+3.565+2.985+3.585-2.4-0.595-3.565-0.59-1.785-0.605+1.345+1.38-1.38-0.595+0.6+4.68+4.65-0.685-1.045-4.65-0.525-0.53+4.31+1.24+2.69+2.19+0.55-1.04+10.474-3.11-0.63-2.69-2.19-0.55-1.24-1.048+15.62-0.004-1.31-0.6-1.995-3.25-3.25-0.125-0.5+0.008-0.68-0.66-0.04-0.535-1.32-0.68-1.11-0.63-0.63-0.446-0.16-0.064-0.019-0.651+10.642-0.635-1.26-6.29-0.551-0.079-3.074-1.27-0.63</f>
        <v>6.6179999999999941</v>
      </c>
      <c r="F599" s="25">
        <v>147500</v>
      </c>
    </row>
    <row r="600" spans="1:6">
      <c r="A600"/>
      <c r="B600" s="30" t="s">
        <v>234</v>
      </c>
      <c r="C600" s="30" t="s">
        <v>799</v>
      </c>
      <c r="D600" s="30" t="s">
        <v>233</v>
      </c>
      <c r="E600" s="53">
        <f>3.65+1.22-3.65-0.598+3.08+1.83+2.25+3.1+2.21+3.09-0.615-0.61-1.15-1.235-0.616-0.63-3.1-3.09+0.63-0.625-0.475-0.04-0.626-1.22-2.225+0.02+0.055+1.6+1.89+1.45-0.54+3.07+2.01+0.51-0.6-0.85-2.01-0.51-1.06-1.89-3.07+4.25+1.5+3.13+3.17+3.29-0.525-4.25+0.45-3.13-0.572+4.73+3.1+0.95-3.17-1.185-1.015-4.73-3.1-0.95-1.064-0.45-0.403-0.053+0.027+4.65+2.64+3.17-2.64-1.04-2.12-1.054-0.436+0.024-3.194+15.36-2.63-6.03-0.51-0.53-0.49-2.16+4.04+1-1-1.01-1.55+3.59+2.52+4.26-3.085-0.505-0.505-2.015-0.505-3.74-0.52+5.01-0.505-0.01-0.511-0.505-0.507</f>
        <v>7.586999999999998</v>
      </c>
      <c r="F600" s="25">
        <v>147500</v>
      </c>
    </row>
    <row r="601" spans="1:6">
      <c r="A601"/>
      <c r="B601" s="30">
        <v>20</v>
      </c>
      <c r="C601" s="30" t="s">
        <v>515</v>
      </c>
      <c r="D601" s="30" t="s">
        <v>233</v>
      </c>
      <c r="E601" s="53">
        <f>3.21+2.56-1.92-0.65-1.285+0.01-1.29-0.65+0.015+4.25+1.16-1.825-1.16-0.615-1.81+10.4+3.24+2.58-3.24+0.65-1.915-6.5-1.305-1.32+2.71+2.16+0.54+3.24+4.5-0.54-0.523-0.665-4.5-0.65-1.97-0.65+0.03-1.295+0.02-1.636-0.65+1.16-2.156+4.32+3.35-1.858-3.35-1.16-2.462-0.534-0.017-0.004+3.83+1.38-3.83-0.68-0.69-0.01+1.485-1.485+3.13-3.13+0.775+5.22+2.03+3.8-0.775-2.03-5.22+0.7+4.21+0.7-0.71-0.7-0.7-0.635-0.704+1.29+3.93-0.702+10.405-0.01-0.63+0.01-3.266-2.805-1.41-0.684-0.66-0.678+0.014-2.785-1.265-1.9-4.13-0.685+10.156-0.79-0.775-1.573</f>
        <v>7.0179999999999989</v>
      </c>
      <c r="F601" s="25">
        <v>147500</v>
      </c>
    </row>
    <row r="602" spans="1:6">
      <c r="A602"/>
      <c r="B602" s="30" t="s">
        <v>234</v>
      </c>
      <c r="C602" s="30" t="s">
        <v>515</v>
      </c>
      <c r="D602" s="30" t="s">
        <v>233</v>
      </c>
      <c r="E602" s="53">
        <f>2.74+2.05+0.65-2.74-1.37-0.65+2+2.5-1.032-0.68-0.968-2.512+0.012+4.28+0.95-0.95-0.52-0.53+3.24+3.31+3.67-3.23-1.645-1.595-3.31-0.015-0.54</f>
        <v>3.1149999999999993</v>
      </c>
      <c r="F602" s="25">
        <v>164200</v>
      </c>
    </row>
    <row r="603" spans="1:6">
      <c r="A603"/>
      <c r="B603" s="30">
        <v>20</v>
      </c>
      <c r="C603" s="30" t="s">
        <v>516</v>
      </c>
      <c r="D603" s="30" t="s">
        <v>233</v>
      </c>
      <c r="E603" s="53">
        <f>1.745-1.175-0.34+2.95+2.22-0.745-0.585+0.015-1.14+2.375+2.355-0.738-2.375-2.355-0.737+3.6+3.57-0.73-0.745-0.003-2.87+4.38+2.94+6.23-4.38-1.47-6.23-2.855-0.72+0.005+4.16+1.39+1.33-0.745+0.023-1.388-0.74+4.705-0.59-0.71-0.74+0.01-0.698+4.7+4.12-0.605-1.19-0.605-1.18-0.6-2.985-1.364-0.671-0.59-0.6+0.065-0.6-0.702-0.69-1.18-0.64-0.054+0.037-1.785-0.525-0.64+0.085+0.68+4.5+2.81-0.75-0.68-0.765+0.73-0.74-1.5-0.745-0.005-0.68-1.4-0.755+0.025-0.73+0.005+3.47+3.51+3.49+2.81+2.11+0.69-2.11-1.408-3.47-3.51-1.405-0.69-1.375-0.71-1.412+0.01+1.33+4.27+1.91+4.27-0.712-1.91+5.415+4.675+5.465-1.435-2.14-0.695-0.025-3.9-0.68-0.71-2.874+0.026-3.13-1.515-0.035-0.665+0.04-1.54-2.32-1.54-0.015-1.56+18.802-1.71-1.71-0.85-2.52-0.855-0.835-1.72-2.59-0.865-2.55-0.823-0.03-0.864-0.88+2.82+2.92+4.99+0.73+10.3-3.435-0.86-0.73-0.675-0.72-0.865-1.71-1.415-3.426-0.004-0.72-0.01+5.23-0.87-2.62</f>
        <v>8.9300000000000068</v>
      </c>
      <c r="F603" s="25">
        <v>147500</v>
      </c>
    </row>
    <row r="604" spans="1:6">
      <c r="A604" s="68"/>
      <c r="B604" s="30" t="s">
        <v>234</v>
      </c>
      <c r="C604" s="30" t="s">
        <v>516</v>
      </c>
      <c r="D604" s="30" t="s">
        <v>233</v>
      </c>
      <c r="E604" s="53">
        <f>3.79+3.03+1.47+0.74-0.78-1.515-3.04-0.75-0.735-0.02-0.755+3.558+2.344+0.588-0.588-1.47+0.035-1.225-0.56-0.559-0.6-2.958+1.075+3.525+3.615-0.602-0.606-0.606-1.075-3.525-1.801</f>
        <v>0</v>
      </c>
      <c r="F604" s="25">
        <v>152500</v>
      </c>
    </row>
    <row r="605" spans="1:6">
      <c r="A605"/>
      <c r="B605" s="30">
        <v>20</v>
      </c>
      <c r="C605" s="30" t="s">
        <v>517</v>
      </c>
      <c r="D605" s="30" t="s">
        <v>233</v>
      </c>
      <c r="E605" s="53">
        <f>8.995-0.74-0.745-0.74-1.51-3.77+0.7+4.41+3.66-4.41-1.46-2.176+4.81+0.69+4.155-1.395-0.695-0.7-0.75-0.69-1.38-0.69-0.76+0.02-0.685+0.035-2.095-0.705-0.024-1.38+0.025+2.98+2.24-0.746-0.75-0.748-1.49-0.746+5.73-0.736-0.011+0.007-2.45-0.825-1.64-0.815+1.26+0.56+3.32+2.36+2.39-0.68+7.72-1.34-1.3-0.56-0.635-0.56-0.66-1.26-0.505-1.55-0.775+4.256+1.706-0.77-0.575+4.272-0.795-0.855-0.775-1.72-0.64-1.715-2.536-0.874-1.71-1.175-0.86+0.008+0.028-3.055+10.37</f>
        <v>10.36999999999999</v>
      </c>
      <c r="F605" s="25">
        <v>146000</v>
      </c>
    </row>
    <row r="606" spans="1:6">
      <c r="A606"/>
      <c r="B606" s="30">
        <v>20</v>
      </c>
      <c r="C606" s="30" t="s">
        <v>518</v>
      </c>
      <c r="D606" s="30" t="s">
        <v>233</v>
      </c>
      <c r="E606" s="53">
        <f>11.205-1.485-0.755-0.005-0.74-0.73-3.03-0.74+2.85+4.38-0.78-0.73+4.805+4.55+0.72-0.735-0.805-2.85-3.645-0.765-0.755+0.01-4+4.76+4.7-0.72+0.765-0.79-0.765-2.34-4.76-1.595+0.025-2.3-0.76+0.06-1.52-0.76+0.03+2.21+2.92+0.71-0.74-0.726-0.734-2.92-0.016-0.71+0.006+2.57-1.306-0.636+1.41-0.71-2.79+3.72+2.96+3.715-0.634+0.006-0.7-0.75-1.49-0.745-0.74-0.75+5.345-0.905-0.89-1.48-2.65-0.732+0.002-1.495+3.725+4.635-0.9-1.51+0.035-1.86-0.74-0.93+6.024+4.95-2.02-1.015-1-1.01-1.005-1-1.975+0.496-0.979-0.021-1+0.051-0.255-1.865+0.02-0.92-0.015+3.43+1.37-0.68+1.32-0.69-1.32</f>
        <v>3.6709999999999958</v>
      </c>
      <c r="F606" s="25">
        <v>147500</v>
      </c>
    </row>
    <row r="607" spans="1:6">
      <c r="A607"/>
      <c r="B607" s="28">
        <v>35</v>
      </c>
      <c r="C607" s="30" t="s">
        <v>518</v>
      </c>
      <c r="D607" s="30" t="s">
        <v>233</v>
      </c>
      <c r="E607" s="53">
        <f>11-11</f>
        <v>0</v>
      </c>
      <c r="F607" s="25">
        <v>156000</v>
      </c>
    </row>
    <row r="608" spans="1:6">
      <c r="A608"/>
      <c r="B608" s="30" t="s">
        <v>234</v>
      </c>
      <c r="C608" s="30" t="s">
        <v>518</v>
      </c>
      <c r="D608" s="30" t="s">
        <v>233</v>
      </c>
      <c r="E608" s="53">
        <f>3.74+2.09+2.88-0.77-0.72-1.51-0.74-0.01-0.7-0.72-2.17-0.72+0.01-0.69+0.03+5.03</f>
        <v>5.030000000000002</v>
      </c>
      <c r="F608" s="25">
        <v>152500</v>
      </c>
    </row>
    <row r="609" spans="1:6">
      <c r="A609"/>
      <c r="B609" s="30">
        <v>20</v>
      </c>
      <c r="C609" s="30" t="s">
        <v>519</v>
      </c>
      <c r="D609" s="30" t="s">
        <v>233</v>
      </c>
      <c r="E609" s="53">
        <f>4.44-0.74+3.2+1.64+0.815-0.76-1.6-0.815-1.605+0.005-0.83-0.75-0.745-0.755-0.69-0.045-0.835+0.07+4.235+4.635-4.635+2.145+0.675+2.36-1.45+0.75-0.765-1.615-0.78-4.235-0.695-0.675+0.02+0.03+4.105-4.14+0.035+3.71+2.24+3.73-1.495-0.74-0.74-1.47-0.746-0.74-0.015-0.745+2.96+2.21-0.75+4.595+0.925+0.92+1.845-0.74-0.745-1.475-0.745-0.74-0.925-0.925+5.522-0.93-1.815-0.025-1.11-1.11-1.09-1.12-0.92-1.845-0.775-1.485-0.005-1.092-0.018+7.31+2.39+0.005-0.822-6.57-0.8-0.78-0.74+0.012-0.904-0.74+0.058</f>
        <v>1.8388068845354155E-15</v>
      </c>
      <c r="F609" s="25">
        <v>159100</v>
      </c>
    </row>
    <row r="610" spans="1:6">
      <c r="A610"/>
      <c r="B610" s="30">
        <v>20</v>
      </c>
      <c r="C610" s="30" t="s">
        <v>520</v>
      </c>
      <c r="D610" s="30" t="s">
        <v>233</v>
      </c>
      <c r="E610" s="53">
        <f>11.237-0.94-4.66-1.615-2.36-0.001-0.782+0.058+3.87+3.05-0.758-0.772-2.3-0.04-2.31-0.072-0.865-0.783+0.043+3.16+2.4-0.81+3.78+0.835-2.855-0.835-0.8+3.16+3.14-0.79-0.025-3.135-0.025-0.948-2.365+0.025-0.8+0.03-0.785-1.585-0.002+4.725+1.875+1.85-0.93-0.92-0.005-0.955-1.87-0.02-0.785+0.015-0.95-2.83+0.03+3.03+1.53+1.45+3.685+2.825+3.67-0.004-1.45-0.77-1.88-0.76-0.732-0.732-0.735-0.735-0.76-0.74-0.02-0.75-2.931-0.945-0.745-1.53+0.02+0.009+4.46+0.75+2.8+2.11+0.7-0.7+10.058-2.8-0.71-2.24-0.75-2.22-1.115-0.708+5.524+5.484-1.11-4.39-0.024-5.484+3.3+6.616-0.696+0.004+5.715-2.215-1.1-1.1-8.943-4.765-3.3-2.201+7.435+11.616-3.375-0.95-0.822-0.82</f>
        <v>14.033999999999999</v>
      </c>
      <c r="F610" s="25">
        <v>147500</v>
      </c>
    </row>
    <row r="611" spans="1:6">
      <c r="A611"/>
      <c r="B611" s="30" t="s">
        <v>234</v>
      </c>
      <c r="C611" s="30" t="s">
        <v>520</v>
      </c>
      <c r="D611" s="30" t="s">
        <v>233</v>
      </c>
      <c r="E611" s="53">
        <f>0.83+0.83+0.75+0.84+2.3-0.83-0.83-0.84-2.3-0.75+2.37+3.14+5.625+0.78-2.445-0.106-0.8-2.412-1.57-0.695-3.213-0.032-0.68+0.038+3.59+3.44+0.87-0.535</f>
        <v>7.3649999999999975</v>
      </c>
      <c r="F611" s="25">
        <v>147500</v>
      </c>
    </row>
    <row r="612" spans="1:6">
      <c r="A612"/>
      <c r="B612" s="30">
        <v>20</v>
      </c>
      <c r="C612" s="30" t="s">
        <v>1080</v>
      </c>
      <c r="D612" s="30" t="s">
        <v>233</v>
      </c>
      <c r="E612" s="53">
        <f>5.236-1.042-2.093+10.442</f>
        <v>12.542999999999999</v>
      </c>
      <c r="F612" s="25">
        <v>159100</v>
      </c>
    </row>
    <row r="613" spans="1:6">
      <c r="A613"/>
      <c r="B613" s="30">
        <v>20</v>
      </c>
      <c r="C613" s="30" t="s">
        <v>1081</v>
      </c>
      <c r="D613" s="30" t="s">
        <v>233</v>
      </c>
      <c r="E613" s="53">
        <f>5.52-1.36-1.39+11.69-1.3-1.32-1.4-2.64</f>
        <v>7.7999999999999972</v>
      </c>
      <c r="F613" s="25">
        <v>156000</v>
      </c>
    </row>
    <row r="614" spans="1:6">
      <c r="A614"/>
      <c r="B614" s="30">
        <v>20</v>
      </c>
      <c r="C614" s="30" t="s">
        <v>521</v>
      </c>
      <c r="D614" s="30" t="s">
        <v>233</v>
      </c>
      <c r="E614" s="53">
        <f>3.272-1.092-1.094-1.095+0.009+4.71-0.8-1.605-2.305+2.65+3.56-0.905-0.898+4.705-0.88+7.305+1.175-1.175-1.178-1.085-1.065-1.175-1.18-1.07-1.06-0.94-1.198-2.68-0.847+0.026-1.08-1.06+0.055+3.385+3.395+3.4-1.135-1.135-2.26-0.39-1.135-1.885+0.01-2.25+3.365+2.23+5.58-1.11-1.11-1.12-1.12-1.13+2.26+2.25+3.4+3.335+1.115-1.14-0.005-1.11-0.02-2.25-1.115-1.12-2.26-2.26-1.1-1.075-0.045+0.025+4.46+4.526-4.46-1.525-1.516+5.19-1.505+0.02</f>
        <v>9.66</v>
      </c>
      <c r="F614" s="25">
        <v>169500</v>
      </c>
    </row>
    <row r="615" spans="1:6">
      <c r="A615"/>
      <c r="B615" s="30">
        <v>20</v>
      </c>
      <c r="C615" s="30" t="s">
        <v>997</v>
      </c>
      <c r="D615" s="30" t="s">
        <v>233</v>
      </c>
      <c r="E615" s="53">
        <f>3.885+3.94-3.94-1.3-1.316-1.27+0.001</f>
        <v>-1.0000680839006293E-15</v>
      </c>
      <c r="F615" s="25">
        <v>156000</v>
      </c>
    </row>
    <row r="616" spans="1:6">
      <c r="A616"/>
      <c r="B616" s="30">
        <v>20</v>
      </c>
      <c r="C616" s="30" t="s">
        <v>522</v>
      </c>
      <c r="D616" s="30" t="s">
        <v>233</v>
      </c>
      <c r="E616" s="53">
        <f>2.61-0.644-1.306-0.674+0.014+2.36+2.37-0.776-0.8-1.585-0.784-0.004-0.795+0.014+3.2+3.88+2.58+2.58+4.78+1.18-0.66-0.636-2.58-0.645-1.18-0.65-1.225-0.655-1.28-1.3+0.02-0.67-1.18-0.031-1.264-0.64-1.2-1.28+0.031-1.215+0.04+3.945+3.945+2.62-1.315-3.945-1.305-2.625-1.325+0.005+7.538+7.56+5.41-1.1-2.15-2.19+0.03-0.36-0.26-1.505-1.52-1.52-1.26+10.57-1.525-1.53-1.51</f>
        <v>14.678000000000003</v>
      </c>
      <c r="F616" s="25">
        <v>169300</v>
      </c>
    </row>
    <row r="617" spans="1:6">
      <c r="A617"/>
      <c r="B617" s="30">
        <v>20</v>
      </c>
      <c r="C617" s="30" t="s">
        <v>523</v>
      </c>
      <c r="D617" s="30" t="s">
        <v>233</v>
      </c>
      <c r="E617" s="53">
        <f>0.84-0.84+4.774-4.78+0.006+7.421+3.726-3.71-1.865-1.875+5.01</f>
        <v>8.7070000000000007</v>
      </c>
      <c r="F617" s="25">
        <v>169300</v>
      </c>
    </row>
    <row r="618" spans="1:6">
      <c r="A618"/>
      <c r="B618" s="30">
        <v>20</v>
      </c>
      <c r="C618" s="30" t="s">
        <v>1071</v>
      </c>
      <c r="D618" s="30" t="s">
        <v>233</v>
      </c>
      <c r="E618" s="53">
        <f>6.07-1.505-3.05-0.035-1.485+0.005+11.188-1.87</f>
        <v>9.3180000000000014</v>
      </c>
      <c r="F618" s="25">
        <v>166000</v>
      </c>
    </row>
    <row r="619" spans="1:6">
      <c r="A619"/>
      <c r="B619" s="30">
        <v>20</v>
      </c>
      <c r="C619" s="30" t="s">
        <v>1130</v>
      </c>
      <c r="D619" s="30" t="s">
        <v>233</v>
      </c>
      <c r="E619" s="53">
        <f>15.834</f>
        <v>15.834</v>
      </c>
      <c r="F619" s="25">
        <v>166000</v>
      </c>
    </row>
    <row r="620" spans="1:6">
      <c r="A620"/>
      <c r="B620" s="30">
        <v>20</v>
      </c>
      <c r="C620" s="30" t="s">
        <v>800</v>
      </c>
      <c r="D620" s="30" t="s">
        <v>233</v>
      </c>
      <c r="E620" s="53">
        <f>4.125-0.404-2.076-0.405-0.418-0.408-0.012-0.42+0.018+4.36-0.798+0.84-0.405-0.385-0.815-0.4+2.47+2.47-1.192-0.4+0.035-0.415-1.225+2.46+2.43-2.47-0.84-0.415-0.818-2.43-0.416-1.231-0.414+0.004+2.53+2.51+0.43-0.85-0.42-0.42-1.25-0.42-0.42-1.26-0.43+3.42-1.875-0.774-0.776+0.005+3.65+0.75-0.41-0.756-3.24+0.006+4.1+3.3-0.415-0.405-0.42-0.41-0.825-0.415-1.21-0.025-3.3+0.025+3.52+3.03+3.82-0.416-0.436-0.866+5.206-0.838-0.45-0.81-0.844-0.865-0.432-2.218-2.117-0.498-0.41-0.314-0.111+0.035-3.986+10.592-0.47-0.47-0.47-0.467-0.46+2.71+2.62-0.468-2.176-0.467-0.458-0.78-0.46-0.473-0.451-0.936-0.393-0.141-0.329-0.39-2.295-0.393</f>
        <v>2.9750000000000005</v>
      </c>
      <c r="F620" s="25">
        <v>147500</v>
      </c>
    </row>
    <row r="621" spans="1:6">
      <c r="A621"/>
      <c r="B621" s="30" t="s">
        <v>234</v>
      </c>
      <c r="C621" s="30" t="s">
        <v>800</v>
      </c>
      <c r="D621" s="30" t="s">
        <v>233</v>
      </c>
      <c r="E621" s="53">
        <f>3.36+1.83-0.375</f>
        <v>4.8149999999999995</v>
      </c>
      <c r="F621" s="25">
        <v>152500</v>
      </c>
    </row>
    <row r="622" spans="1:6">
      <c r="A622"/>
      <c r="B622" s="30">
        <v>20</v>
      </c>
      <c r="C622" s="30" t="s">
        <v>524</v>
      </c>
      <c r="D622" s="30" t="s">
        <v>233</v>
      </c>
      <c r="E622" s="53">
        <f>6.325-0.468-0.465+0.008-3.025+2.88+2.29-0.575-0.57-0.51+0.005-1.144+4.51+2.34+3.83-1.15-0.55-1.87-0.575+4.4+0.48-0.48-0.58-1.115-0.56-1.41-2.165-3.395-1.958-1.452-0.016-0.56-0.982-0.555-0.93+2.43+2.42-0.008-0.49-0.49-2.44-1.44+0.01+4.61+4.67-1.392-0.47-0.46-0.468-3.28-0.943-1.33-0.056-0.93+0.047+0.002+0.51+4.88+0.87+1.43+0.55+4.66-1.062-0.55-0.492-0.49-2.616-0.51-4.33-0.55+4.26+4.25-0.482-0.482+2.338+4.69+1.754+1.186-0.87-0.492-0.388-0.086-0.958+0.018-2.824-0.476-2.344-0.974-0.48+0.028-0.6-0.59-1.148-1.186-0.589+2.353+2.943-2.353-4.69-0.585+2.7+2.7+3.83+1.05+0.52-2.943-1.675-1.095+3.23+1.57-0.54-10.74+0.02-0.59-1.57+0.01+4.622-1.16-2.9+9.74-1.735-0.58-1.135-0.585-2.315</f>
        <v>3.9520000000000022</v>
      </c>
      <c r="F622" s="25">
        <v>145000</v>
      </c>
    </row>
    <row r="623" spans="1:6">
      <c r="A623"/>
      <c r="B623" s="30">
        <v>20</v>
      </c>
      <c r="C623" s="30" t="s">
        <v>525</v>
      </c>
      <c r="D623" s="30" t="s">
        <v>233</v>
      </c>
      <c r="E623" s="53">
        <f>12.255-3.55-1.76-2.32-1.705-2.44+3.46+4.61-0.57-0.58-0.6+0.12-1.735+10.5+4.7+4.13+4.14+0.57-0.575-0.6-0.57-0.57-0.595-1.77-1.182-0.005-0.59-0.586-0.59-1.16-0.585-0.574-0.001-0.59-3.446-1.754-4.66-0.592-0.605+0.005-2.356-0.004+4.14-0.57+4.62-0.004-1.736+1.27+4.465+4.54-0.64-1.8-0.584-0.59-1.754-1.795+0.044-0.595-0.602-2.306-0.584-1.212+0.058-3.82-0.63-2.59+9.744-0.645-0.708-0.702-0.68-2.1-3.505+4.32+3.03-0.06-0.705-1.806-0.635-1.34+0.056-0.63-0.62-0.636</f>
        <v>4.9729999999999954</v>
      </c>
      <c r="F623" s="25">
        <v>147500</v>
      </c>
    </row>
    <row r="624" spans="1:6">
      <c r="A624"/>
      <c r="B624" s="30">
        <v>20</v>
      </c>
      <c r="C624" s="30" t="s">
        <v>1057</v>
      </c>
      <c r="D624" s="30" t="s">
        <v>233</v>
      </c>
      <c r="E624" s="53">
        <f>10.422-10.43+0.008+4.06+4.72+1.96-0.675-0.685-0.675</f>
        <v>8.7050000000000001</v>
      </c>
      <c r="F624" s="25">
        <v>145000</v>
      </c>
    </row>
    <row r="625" spans="1:6">
      <c r="A625"/>
      <c r="B625" s="30">
        <v>20</v>
      </c>
      <c r="C625" s="30" t="s">
        <v>526</v>
      </c>
      <c r="D625" s="30" t="s">
        <v>233</v>
      </c>
      <c r="E625" s="53">
        <f>1.53-0.775-0.76+0.005+1.27+0.6+3.42+0.74+4.33+3.04-1.27-0.74-1.52-1.655-1.734-0.745+0.714-1.44-0.73-0.722-0.61-1.505+0.067+0.01-0.775+4.37-2.185-1.45-0.735-0.005+3.71+3.07+3.67+0.82-1.47-0.82-0.73+3.775+1.905+1.91+3.175-0.64-0.625-0.64-0.67-0.736-0.665+0.065-0.605-1.255-1.905-0.655-0.63-0.775-3.07-3.67-1.275+0.001-0.74-0.615-0.02-0.63+2.86+2.14-0.715-0.7-0.73+0.005-2.86+4.4+4.38+4.39+2.91+4.4+4.37+4.41+4.39+3.68+4.36+4.36-0.735-0.73-1.445-2.19-1.445-2.205-0.745-0.73-1.46-0.72-0.03-0.73-0.742+3.69+3.69+3.69+4.31-0.73+0.72-0.735-1.47-0.72-3.68-1.468-1.475-2.16-0.74-0.738-0.01-0.73-0.722-0.716-0.745-1.46-0.74-1.464-0.74-0.687-0.053-2.2-0.735-0.74-0.73-2.208-1.465-0.75-0.74-2.975-0.036-0.7-0.772-0.697+0.01-1.47-2.22-0.01-1.48-0.73-0.73+0.098-2.15-1.46-0.67-0.795+0.095+6.012+6.05+3.438-0.87-0.87-0.87-0.865-0.87-0.865+0.032-1.74-0.865+2.96+2.22-1.73-1.73-0.865-1.485-1.475-0.865-0.845-1.725-0.75+0.043+12.166-0.765-0.735-0.005-0.76-0.765-0.73-0.78</f>
        <v>9.0960000000000161</v>
      </c>
      <c r="F625" s="25">
        <v>147500</v>
      </c>
    </row>
    <row r="626" spans="1:6">
      <c r="A626"/>
      <c r="B626" s="30">
        <v>20</v>
      </c>
      <c r="C626" s="30" t="s">
        <v>1072</v>
      </c>
      <c r="D626" s="30" t="s">
        <v>233</v>
      </c>
      <c r="E626" s="53">
        <f>0.7+2.12+0.735+4.935-0.735-0.7-0.69</f>
        <v>6.3650000000000002</v>
      </c>
      <c r="F626" s="25">
        <v>147500</v>
      </c>
    </row>
    <row r="627" spans="1:6">
      <c r="A627"/>
      <c r="B627" s="30">
        <v>20</v>
      </c>
      <c r="C627" s="30" t="s">
        <v>527</v>
      </c>
      <c r="D627" s="30" t="s">
        <v>233</v>
      </c>
      <c r="E627" s="53">
        <f>8.74+0.805+4.135+0.8-0.83-0.83-0.83-0.83-1.68-0.64+0.02-1.55-0.765+0.005-2.49+8.025-1.645-0.007-0.84+0.03-0.8-4.067-0.805-0.805+0.007-0.795-0.805-0.79-0.814+0.051+2.47+2.55+0.85-2.47-1.725+2.468+4.116+3.29-0.825-0.85-0.825-0.825-0.83-0.824-0.825-0.818-1.652+0.011-0.825-0.82-1.641+5.675+2.43-0.815-0.825-1.635-0.81+10.112-1.005-9.107-0.815-1.625+10.494-0.95-0.95-0.965-3.815-2.86-0.954-0.775-0.805+3.81+5.67-0.812-0.811+8.358+2.04+8.534-1.025-3.81-0.816-0.811-1.065-1.605-3.22-1.06-0.816+0.001</f>
        <v>12.562000000000008</v>
      </c>
      <c r="F627" s="25">
        <v>147500</v>
      </c>
    </row>
    <row r="628" spans="1:6">
      <c r="A628"/>
      <c r="B628" s="28">
        <v>45</v>
      </c>
      <c r="C628" s="30" t="s">
        <v>527</v>
      </c>
      <c r="D628" s="30" t="s">
        <v>233</v>
      </c>
      <c r="E628" s="53">
        <f>1.665-0.84</f>
        <v>0.82500000000000007</v>
      </c>
      <c r="F628" s="25">
        <v>145000</v>
      </c>
    </row>
    <row r="629" spans="1:6">
      <c r="A629"/>
      <c r="B629" s="30">
        <v>20</v>
      </c>
      <c r="C629" s="30" t="s">
        <v>528</v>
      </c>
      <c r="D629" s="30" t="s">
        <v>233</v>
      </c>
      <c r="E629" s="53">
        <f>3.515+1.74-0.85-0.9-0.87-1.76+1.63+3.24-0.805+5.29-0.805-3.24-0.02-1.78-0.87-0.87-0.005-0.005+0.005-2.65+0.01+5.645-2.42+2.24+3.308-1.12</f>
        <v>7.6529999999999996</v>
      </c>
      <c r="F629" s="25">
        <v>156000</v>
      </c>
    </row>
    <row r="630" spans="1:6">
      <c r="A630"/>
      <c r="B630" s="30">
        <v>20</v>
      </c>
      <c r="C630" s="30" t="s">
        <v>529</v>
      </c>
      <c r="D630" s="30" t="s">
        <v>233</v>
      </c>
      <c r="E630" s="53">
        <f>2.807-0.66-0.78+1.54+3.13+1.45-0.72+0.003-0.78-3.13-0.74-0.77+2.52+2.5-0.05-0.71-0.01-0.84-1.67-2.5-0.02-0.525+0.01+5.04-1.68-0.85-2.51-0.055+4.99-4.15+3.64+2.64-0.685+3.95-1.01+4.91+0.955-0.978-0.836-0.955-1.03-0.99-0.545-0.985-0.545-2.64-0.98-0.004-1.006+0.024-0.545-1.32-0.98+4.345+5.14-0.975+0.05-0.88-0.725-0.875-0.73-0.74-2.59-2.945+0.88+0.79+2.69-0.79+3.37+3.37-0.88+4.48+4.505-0.896-0.91-0.9+0.016-1.125-1.125-1.12+9.576-1.13-1.12-1.12-1.21-1.205-2.41-1.15-1.21-1.205-1.15-1.11-1.202+0.016-1.135+3.91+3.91+0.98-1.13-2.25-0.98-1.95-1.125-1.96-2.93-1.13+0.045-0.98+12.114-1.22-1.22-2.43</f>
        <v>7.2440000000000015</v>
      </c>
      <c r="F630" s="25">
        <v>147500</v>
      </c>
    </row>
    <row r="631" spans="1:6">
      <c r="A631"/>
      <c r="B631" s="24">
        <v>20</v>
      </c>
      <c r="C631" s="30" t="s">
        <v>944</v>
      </c>
      <c r="D631" s="30" t="s">
        <v>233</v>
      </c>
      <c r="E631" s="53">
        <f>5.002-1.235-2.445-1.27-0.052+5.925-1.005-1.09-1.96-0.97+4.456-2.99-1.48+0.014+5.52-3.33-2.19+10.34-1.49-0.917+0.017-1.5-7.4+0.05+10.38</f>
        <v>10.38</v>
      </c>
      <c r="F631" s="25">
        <v>169300</v>
      </c>
    </row>
    <row r="632" spans="1:6">
      <c r="A632"/>
      <c r="B632" s="24">
        <v>20</v>
      </c>
      <c r="C632" s="30" t="s">
        <v>1021</v>
      </c>
      <c r="D632" s="30" t="s">
        <v>233</v>
      </c>
      <c r="E632" s="53">
        <f>5.396-1.35+4.47-1.49-1.5-1.345-1.495+0.015+3.167+1.583</f>
        <v>7.4509999999999987</v>
      </c>
      <c r="F632" s="25">
        <v>169300</v>
      </c>
    </row>
    <row r="633" spans="1:6">
      <c r="A633"/>
      <c r="B633" s="24">
        <v>20</v>
      </c>
      <c r="C633" s="30" t="s">
        <v>998</v>
      </c>
      <c r="D633" s="30" t="s">
        <v>233</v>
      </c>
      <c r="E633" s="53">
        <f>2.59-1.295+3.885-3.885-1.295</f>
        <v>0</v>
      </c>
      <c r="F633" s="25">
        <v>156000</v>
      </c>
    </row>
    <row r="634" spans="1:6">
      <c r="A634"/>
      <c r="B634" s="30">
        <v>20</v>
      </c>
      <c r="C634" s="30" t="s">
        <v>530</v>
      </c>
      <c r="D634" s="30" t="s">
        <v>233</v>
      </c>
      <c r="E634" s="53">
        <f>4.825-1.2-2.44-1.21+0.025+2.63+2.61-0.89-2.61-0.86+4.85+4.76-2.445-2.38-1.195-0.88+3.63+1.22-1.225+0.015-3.63-1.22-2.4+0.02+4.949+5.004-1.23-1.19-3.71-2.46-1.225-0.069-0.069+2.64+7.865-1.31-1.32-2.65-2.63-1.32-1.29+0.015+7.582+3.01-3.01-1.51-1.5-4.61+0.038+4.96+6.036-2.48-3.02-1.53-1.52+0.034-1.245-1.235+11.202-3.74-3.731</f>
        <v>3.7309999999999981</v>
      </c>
      <c r="F634" s="25">
        <v>157500</v>
      </c>
    </row>
    <row r="635" spans="1:6">
      <c r="A635"/>
      <c r="B635" s="30">
        <v>20</v>
      </c>
      <c r="C635" s="30" t="s">
        <v>1022</v>
      </c>
      <c r="D635" s="30" t="s">
        <v>233</v>
      </c>
      <c r="E635" s="53">
        <f>3.15+1.574-1.58+9.072-1.517-6.065+10.586-3.05-1.518+0.028-1.51-1.53-1.52-0.004-3.02-3.14+0.044</f>
        <v>-2.2620794126737565E-15</v>
      </c>
      <c r="F635" s="25">
        <v>164000</v>
      </c>
    </row>
    <row r="636" spans="1:6">
      <c r="A636"/>
      <c r="B636" s="30">
        <v>20</v>
      </c>
      <c r="C636" s="30" t="s">
        <v>531</v>
      </c>
      <c r="D636" s="30" t="s">
        <v>233</v>
      </c>
      <c r="E636" s="53">
        <f>7.524-0.844-3.4-0.021-0.73-0.85+3.95+3.19-0.81-2.395+0.015+3.45+3.46-0.848-0.86-3.95-0.88+8.48-0.855-0.86+0.005-0.875-0.85-2.61+0.025+0.019-1.23-1.22-1.224-1.215-1.22-1.225+4.475+3.14+2.955+3.15-3.15-1.575+4.72-1.565-1.195+0.049-1.486-1.575-3.145-1.51-1.495+0.016+10.548-1.516-1.505-1.502-1.5-1.51-1.5-1.515-1.47-1.485+11.241-1.875-1.875-1.875</f>
        <v>5.6159999999999997</v>
      </c>
      <c r="F636" s="25">
        <v>169300</v>
      </c>
    </row>
    <row r="637" spans="1:6">
      <c r="A637"/>
      <c r="B637" s="30">
        <v>20</v>
      </c>
      <c r="C637" s="30" t="s">
        <v>1082</v>
      </c>
      <c r="D637" s="30" t="s">
        <v>233</v>
      </c>
      <c r="E637" s="53">
        <f>6.35-3.16-1.6-1.61+0.02+11.273</f>
        <v>11.273</v>
      </c>
      <c r="F637" s="25">
        <v>166000</v>
      </c>
    </row>
    <row r="638" spans="1:6">
      <c r="A638"/>
      <c r="B638" s="30">
        <v>20</v>
      </c>
      <c r="C638" s="30" t="s">
        <v>1073</v>
      </c>
      <c r="D638" s="30" t="s">
        <v>233</v>
      </c>
      <c r="E638" s="53">
        <f>6.31-0.235-1.585-1.577-2.7+9.15</f>
        <v>9.3629999999999995</v>
      </c>
      <c r="F638" s="25">
        <v>166000</v>
      </c>
    </row>
    <row r="639" spans="1:6">
      <c r="A639"/>
      <c r="B639" s="30">
        <v>20</v>
      </c>
      <c r="C639" s="30" t="s">
        <v>55</v>
      </c>
      <c r="D639" s="24" t="s">
        <v>233</v>
      </c>
      <c r="E639" s="53">
        <f>39.503-3.76-1.48+3.75+1.13+3.77+0.003-3.395-0.365-1.702-3.42-3.4-3.374-0.675-3.4-0.715-1.72-2.96-0.742-0.38-0.37-0.375-0.38-0.72-0.308-0.072-1.13+20.862+20.732-0.375-0.003-0.38-1.135-0.4-0.29-0.08-1.156-1.13-0.39-1.16-2.31+0.04-0.71-1.156-3.07-1.936-1.554-1.909-0.38-9.609+1.909-0.37-0.37-0.384-0.38-0.758-0.38-0.38-0.39-1.495-1.178-1.56-0.745-0.385-0.38-0.08-0.305-1.93-1.132-1.958-6.166-2.71-3.851+0.064+0.108-0.36-0.32+0.072+20.054-0.325-0.322+10.147-0.325-0.325-0.325-0.325+0.325-0.325-1.923-0.013-1.625-0.325-0.655-0.96-4.389-0.613-0.357-2.86-3.255-0.025-0.325-4.798-2.889-0.328+3.552-0.325</f>
        <v>6.1410000000000116</v>
      </c>
      <c r="F639" s="25">
        <v>147500</v>
      </c>
    </row>
    <row r="640" spans="1:6">
      <c r="A640"/>
      <c r="B640" s="30" t="s">
        <v>234</v>
      </c>
      <c r="C640" s="30" t="s">
        <v>55</v>
      </c>
      <c r="D640" s="30" t="s">
        <v>233</v>
      </c>
      <c r="E640" s="53">
        <f>0.3+4.53+4.315+4.615-0.36-4.615+2.865-0.37-0.355-0.36+3.9+3.54+2.83+3.51+3.525+2.45+4.25+3.53+3.515+3.525+3.54-0.354-0.716-0.357-0.365-0.37-0.715-1.065-0.335-0.355-0.355-1.065-0.69-0.708-0.355-1.422-0.72-0.365-1.08-0.36+4.28+4.71+4.67+4.55+1.22+3.68+3.26+3.265+3.3-0.356-0.3-0.356-0.37-0.72-0.71-0.705-0.355+20.692+20.582-0.725-0.314-1.075-0.61-1.48-1.095-1.445-0.37-1.755-0.694-0.006-0.37-0.368-1.42-0.725-0.38-0.36-0.365-0.37-0.345-0.365-0.715-0.355-0.3-0.06-1.052-0.715-0.365-8.865-0.645-3.697-0.367-0.723-0.585-0.08-0.37-1.485-0.025-3.51-3.525-1.153-1.095-2.958-2.485-18.55+0.059-4.67-3.515-1.055-0.37-0.357+1.06-0.363-5.892-0.36-0.734-0.64-0.815-2.06-0.37-18.67+0.129+9.982-0.325-0.335+0.357-0.67-4.364-0.33-0.665-0.327-1.015-0.315-1.015-0.67-0.357-0.276</f>
        <v>1.4321877017664519E-14</v>
      </c>
      <c r="F640" s="25">
        <v>152500</v>
      </c>
    </row>
    <row r="641" spans="1:6">
      <c r="A641"/>
      <c r="B641" s="30">
        <v>20</v>
      </c>
      <c r="C641" s="30" t="s">
        <v>532</v>
      </c>
      <c r="D641" s="30" t="s">
        <v>233</v>
      </c>
      <c r="E641" s="53">
        <f>63.155-0.38-1.92-0.755-0.745-0.31-0.386-0.425-5.596-0.318-0.38-1.086-0.38-0.924-3.371+0.012-0.42-0.425-2.141-0.76-1.052-3.005-0.39-0.847-2.209-0.091-0.435-0.385-34.031+14-1.829-0.425-0.096+18.326-0.685-3.02-1.97-0.378-23.923+23.923-0.44-0.43-0.853-1.264-0.546-2.127-8.645-0.6-0.03-2.15-0.22-0.228-0.436-0.44-0.848-0.44+1.052-0.382-0.422-2.138-0.85-1.288+0.184-0.43+0.048+3.57+2.88+3.62-1.09-0.365-1.438-1.795-0.445+0.445-3.246-0.677-1.085-0.388-0.44+0.014+0.44+3.18+2.47+3.18+3.19+2.83-0.356-1.416-1.42-0.71+3.23+3.26+3.26+3.24+3.23+3.21-1.05-0.005-0.36-0.355-0.71-0.345-3.23-3.26-1.74-3.19-0.01+0.005-1.072-0.005-2.83-3.24-3.23-1.786-0.74+11.032-5.117-0.728+3.14+3.17+2.82+2.77-1.424-0.396+0.021+3.15-2.77-2.792-3.17-2.82-1.412+20.787+9.793-0.368+0.04-1.776-0.37+0.038-0.424-0.42-0.415-0.43-0.42-0.42-2.124-1.296-0.425-0.43-2.123-0.415-1.695-0.856-2.143+1.695-1.71-0.42+0.675-3.38+0.013-0.35+0.002-1.704-0.425-2.549-12.7-0.43-0.425-0.424+10.76</f>
        <v>11.434999999999965</v>
      </c>
      <c r="F641" s="25">
        <v>137500</v>
      </c>
    </row>
    <row r="642" spans="1:6">
      <c r="A642"/>
      <c r="B642" s="30" t="s">
        <v>234</v>
      </c>
      <c r="C642" s="30" t="s">
        <v>532</v>
      </c>
      <c r="D642" s="30" t="s">
        <v>233</v>
      </c>
      <c r="E642" s="53">
        <f>15.292-0.69-3.48-0.615-0.346-1.052-0.73-0.71-7.669+3-0.002-0.22-2.705-0.051-0.005-0.017+0.529+0.345-0.35+0.005-0.529+0.34+2.375+3.47+3.52+2.79+1.4+3.51+3.5-2.375+3.484+3.448+2.636-1.76-1.055+0.529+2.375-0.298-0.047+0.345-0.352-0.36-0.231-3.51-2.785-3.484-2.139-1.045-0.355-1.705-1.05-0.34-1.309-2.642+0.006-0.303-1.382-2.47-0.298-0.046+0.046-0.355-0.001-1.389-0.019+0.001+13.053+0.019-3.955+2.82+2.47+2.38-0.43-7.565-1.06-0.35+1.72-0.395+2.45+2.42-0.06-0.73-0.35+0.331+0.022+0.06+1.43+3.56+3.41+1.72-0.362-0.34-0.435-1.42-1.08-0.855-3.56+3.745-0.35-0.01-2.45-2.42-3.08-1.72-0.32-3.095-0.33-0.36-0.37-0.707-1.649-0.356-1.036-0.43-0.185+9.643-0.33-6.748+10.249</f>
        <v>13.279000000000011</v>
      </c>
      <c r="F642" s="25">
        <v>142500</v>
      </c>
    </row>
    <row r="643" spans="1:6">
      <c r="A643"/>
      <c r="B643" s="30">
        <v>20</v>
      </c>
      <c r="C643" s="30" t="s">
        <v>1103</v>
      </c>
      <c r="D643" s="32" t="s">
        <v>930</v>
      </c>
      <c r="E643" s="53">
        <f>0.615-0.116-0.18</f>
        <v>0.31900000000000001</v>
      </c>
      <c r="F643" s="102">
        <v>121000</v>
      </c>
    </row>
    <row r="644" spans="1:6">
      <c r="A644"/>
      <c r="B644" s="30">
        <v>20</v>
      </c>
      <c r="C644" s="30" t="s">
        <v>56</v>
      </c>
      <c r="D644" s="30" t="s">
        <v>233</v>
      </c>
      <c r="E644" s="53">
        <f>17.265+1.7-0.96+0.039-0.864+2.448-0.43-0.005-2.22-3.94-3.36-0.425+1.98+2.92+0.45+1.44-1.97-0.425-0.485-0.405-0.44-0.955+0.02+0.007-0.443-1.18-1.3-1.286-0.84+0.018-0.485-2.92-0.54-0.45-1.44+4.63+2.94+2.52-2.785-0.425-0.475-2.515-2.52+2.99+3.005+3.46+1.05+2.965+0.675-2.49-3.005-2.965-2.96+3.01-1.375-0.5+0.005-2.005-0.495-0.87+2.463+2.476+2.452+2.468+2.462+2.45+2.455+2.435+0.975+2.453+2.462+2.459+2.47+2.439+2.451+2.458+2.47+0.984-0.494-0.49-0.435-0.18-1.479-2.476+9.649+1.5-0.005-1.005-0.495-0.49-1.5-0.49-0.494-2.462-0.006-2.459-2.47-0.97-1.46-0.95-0.494-2.439-2.451-2.458-2.47-0.5-1-0.5-0.499-4.4-11.258-0.492-0.497-0.455-2.455-1.468+2.09-1.345-0.675+11.544-2.965-0.485-0.975-1.445-0.045-0.068-1.332+0.615+20.389-0.515-0.615-3.424-4.037-0.001-0.496-4.025-0.012-2.455-0.448-0.084-0.455-0.45+0.18-0.483-0.908+9.749-0.465+9.729-2.23-2.35-5.169-4.196-3.708-1.825+21.233-0.17-0.893-1.192-0.94-0.51-0.017-0.46+0.125-0.503-1.516</f>
        <v>21.935999999999986</v>
      </c>
      <c r="F644" s="25">
        <v>137500</v>
      </c>
    </row>
    <row r="645" spans="1:6">
      <c r="A645"/>
      <c r="B645" s="30">
        <v>20</v>
      </c>
      <c r="C645" s="30" t="s">
        <v>56</v>
      </c>
      <c r="D645" s="25" t="s">
        <v>929</v>
      </c>
      <c r="E645" s="53">
        <f>1.2</f>
        <v>1.2</v>
      </c>
      <c r="F645" s="25">
        <v>146000</v>
      </c>
    </row>
    <row r="646" spans="1:6">
      <c r="A646"/>
      <c r="B646" s="30" t="s">
        <v>234</v>
      </c>
      <c r="C646" s="30" t="s">
        <v>1103</v>
      </c>
      <c r="D646" s="32" t="s">
        <v>930</v>
      </c>
      <c r="E646" s="53">
        <f>1.744-0.089-1.195</f>
        <v>0.45999999999999996</v>
      </c>
      <c r="F646" s="102">
        <v>139000</v>
      </c>
    </row>
    <row r="647" spans="1:6">
      <c r="A647"/>
      <c r="B647" s="30" t="s">
        <v>234</v>
      </c>
      <c r="C647" s="30" t="s">
        <v>56</v>
      </c>
      <c r="D647" s="30" t="s">
        <v>233</v>
      </c>
      <c r="E647" s="53">
        <f>73.5706-20.594-20.415-9.742-10.786+0.006-0.85-0.44-0.465-0.486-0.976-1.482+19.27-0.488-0.49-0.496-1.956-2.47+14.385+19.915-1.49-0.14-4.985-0.492-0.486-2.94-4.93-1.95-4.91-0.485-0.49-0.5-15.815-0.495+1.649-3.87-4.35-0.99-5.175-0.06-1.02-0.5+0.042+19.484+19.43-19.484-0.962-4.34-0.482-13.646-0.412+1.458+1.744-1.458-1.744-0.217+6.885-0.465-0.41-0.845-2.055-0.445-2.665</f>
        <v>-3.999999999937387E-4</v>
      </c>
      <c r="F647" s="25">
        <v>142500</v>
      </c>
    </row>
    <row r="648" spans="1:6">
      <c r="A648"/>
      <c r="B648" s="28">
        <v>10</v>
      </c>
      <c r="C648" s="30" t="s">
        <v>172</v>
      </c>
      <c r="D648" s="30" t="s">
        <v>233</v>
      </c>
      <c r="E648" s="53">
        <f>0.16</f>
        <v>0.16</v>
      </c>
      <c r="F648" s="25">
        <v>137500</v>
      </c>
    </row>
    <row r="649" spans="1:6">
      <c r="A649"/>
      <c r="B649" s="30">
        <v>20</v>
      </c>
      <c r="C649" s="30" t="s">
        <v>172</v>
      </c>
      <c r="D649" s="30" t="s">
        <v>233</v>
      </c>
      <c r="E649" s="53">
        <f>2.41-2.41+2.78-2.78+0.5+4.12-0.5-2.29-0.46-0.46+3.78-0.485+0.003+1.36-0.476+2.29+4.09+4.06-0.915-4.09-3.615-0.48+12.61-0.47-0.465+0.025-2.342-1.805+2.26-0.895-0.025-0.04-0.42-0.48-1.36-0.45+0.035-0.754-11.856+2.76+3.59+3.62-0.92-0.92-1.835-3.62-0.435-1.32-0.48-0.47+0.03+4.48+4.53+0.92-0.455-1.345-8.13+3.57+3.59+3.15+3.33+2.78+3.32+2.775-0.91-1.11+2.765-1.665-1.11-2.775-0.01-0.555-0.545-0.895-1.352-0.92-0.413-2.67-1.842-1.12-0.45-0.902+0.044-0.555-2.775+15.032-0.56-1.114-1.114-0.002-0.56+2.23-0.56-1.114-1.116-0.03-0.554-0.006-1.114-0.016-0.538-0.022-0.56-0.555-0.003-0.554-0.012-1.114-1.114-0.006-0.476-0.084-1.114-0.001-0.55-2.79+4.301+1.06-0.545-1.115+0.013-1.08-0.535-0.526-1.062-1.098-0.522+0.007-1.09-0.555+0.088+10.878-3.588-2.105-2.103-1.02</f>
        <v>2.0619999999999967</v>
      </c>
      <c r="F649" s="25">
        <v>137500</v>
      </c>
    </row>
    <row r="650" spans="1:6">
      <c r="A650"/>
      <c r="B650" s="30" t="s">
        <v>234</v>
      </c>
      <c r="C650" s="30" t="s">
        <v>172</v>
      </c>
      <c r="D650" s="30" t="s">
        <v>233</v>
      </c>
      <c r="E650" s="53">
        <f>0.021+1.6+1.85+2.34+0.94+1.96-1.41-0.021-0.462-0.466+0.026-1.41-1.6-1.96-0.468-0.94+1.3+3.98+0.546+1.363+1.053+1.411-1.053-1.411-1.3-3.98-0.546-1.363+4.22+0.91-3.18-0.455-1.04-0.455+0.84+4.38+2.07+1.43-0.55-0.402-2.07+1.09-1.652-1.09-0.545-0.438-1.65+0.017+2.78+0.94+4.62-0.45-1.395-4.62-0.025-1.36-0.54-0.47+0.07-0.495-0.485+16.01-1.835-0.915-2.28-0.464-0.935-1.393-0.462-1.842-5.02-0.462-0.466+0.064+8.57-0.53-1.945-0.54</f>
        <v>5.5549999999999971</v>
      </c>
      <c r="F650" s="25">
        <v>142500</v>
      </c>
    </row>
    <row r="651" spans="1:6">
      <c r="A651"/>
      <c r="B651" s="30">
        <v>20</v>
      </c>
      <c r="C651" s="30" t="s">
        <v>57</v>
      </c>
      <c r="D651" s="30" t="s">
        <v>233</v>
      </c>
      <c r="E651" s="53">
        <f>22.811-3.696-4.337-4.359-1.1-2.225-0.56+0.024-1.22-1.462-1.679-1.23-0.615+0.03+0.002+1.701-0.564+8.042-0.569-0.568-8.042+4.83+7.737-0.555-4.83-6.062+9.83-1.12-2.39-0.16+7.073-1.736+1.155</f>
        <v>14.155999999999997</v>
      </c>
      <c r="F651" s="25">
        <v>137500</v>
      </c>
    </row>
    <row r="652" spans="1:6">
      <c r="A652"/>
      <c r="B652" s="30" t="s">
        <v>234</v>
      </c>
      <c r="C652" s="30" t="s">
        <v>57</v>
      </c>
      <c r="D652" s="30" t="s">
        <v>233</v>
      </c>
      <c r="E652" s="53">
        <f>24.394-0.545-0.63+0.019-0.62-3.644+4.91+4.95+4.985+4.93-1.2-5.475+0.14+4.128+4.119+4.091+4.105+4.078-19.915-0.605-1.165-0.585-0.61-1.215+1.215-1.17-1.208-1.207-0.585-0.585-0.604-0.585-2.364-1.137-0.615-0.598-0.585-0.542-0.591-1.18-1.786-13.518+0.07-1.065+7.109-0.585+3.482-0.598-0.6-0.545-1.199-1.153-0.601-0.632+0.26+5.964-0.61-1.2-0.595-0.59</f>
        <v>7.9070000000000018</v>
      </c>
      <c r="F652" s="25">
        <v>142500</v>
      </c>
    </row>
    <row r="653" spans="1:6">
      <c r="A653"/>
      <c r="B653" s="30">
        <v>20</v>
      </c>
      <c r="C653" s="30" t="s">
        <v>533</v>
      </c>
      <c r="D653" s="30" t="s">
        <v>233</v>
      </c>
      <c r="E653" s="53">
        <f>1.635-1.635</f>
        <v>0</v>
      </c>
      <c r="F653" s="25">
        <v>144900</v>
      </c>
    </row>
    <row r="654" spans="1:6">
      <c r="A654"/>
      <c r="B654" s="30">
        <v>20</v>
      </c>
      <c r="C654" s="30" t="s">
        <v>534</v>
      </c>
      <c r="D654" s="30" t="s">
        <v>233</v>
      </c>
      <c r="E654" s="53">
        <f>3.94+3.06+3.69-0.368-1.29-1.815-1.225+4.06+4.06+4.06+2.89-1.835-1.875-2.025-0.58-0.59-4.06-0.257-1.745-0.585-1.16-3.48-0.58-1.16-0.56-0.02-0.58+0.03+3.05+1.82+4.179+0.714-0.614-0.714-1.212+0.63+1.22-0.602-0.604-0.8-4.179-0.615+0.6+4.42-1.205-0.6-0.018-1.26-2.535-0.63+0.64+4.43-1.265-1.245-1.92-0.012-0.65+0.022-0.625-0.015-0.315+0.315+4.44+1.62+4.685+0.785-0.27+3.625+3.65+3.656+3.647+3.647+1.462+0.744-0.734-0.74-1.475-0.72-0.74-0.734-0.78-0.785-3.656-1.462-0.007-0.734-0.669-0.722-2.996+0.74-1.391-3.724+0.077-0.74-0.004-3.7+1.361+8.189+0.684+3.9-0.69-0.77+0.03-2.728-1.56-4.781-2.83+0.015+3.742+2.011-2.748-0.76-0.753-1.251-0.244-0.702+0.003-1.192-0.805-0.76</f>
        <v>3.7609999999999886</v>
      </c>
      <c r="F654" s="25">
        <v>137500</v>
      </c>
    </row>
    <row r="655" spans="1:6">
      <c r="A655"/>
      <c r="B655" s="30" t="s">
        <v>234</v>
      </c>
      <c r="C655" s="30" t="s">
        <v>534</v>
      </c>
      <c r="D655" s="30" t="s">
        <v>233</v>
      </c>
      <c r="E655" s="53">
        <f>17.488-0.726-0.714+2.19-2.53-2.58-2.888-0.713-0.709-4.515-2.114-2.19-0.029-0.002+0.032+4.25+2.42-2.49-0.59-0.606-0.595+1.27-0.61+4.12+1.32+1.98+1.23-0.605-0.608-0.66-1.27+1.312-4.12+4.872-1.32-0.01-1.4-1.312+0.718+4.343-0.564-0.002-0.04-2.785-0.19-0.135+16.632-0.718-0.635-16.632-1.445-0.735-0.064-0.687-0.585-0.037-0.703+0.687+0.585-1.46-0.585-0.12-0.838-0.935+0.044+0.308+4.16+4.17+4.85+4.72+4.86+4.84+4.78+4.84+0.69+4.14+4.15-2.78-4.78-0.69-0.69-4.15-4.16-4.17-4.72-2.08-3.45-4.84-4.84-0.702+2.06+1.84-2.077+20.384-0.685-0.695+2.55-0.615-3.298+4.78+4.76+3.4+2.67-0.68-17.11-2.55+0.024+3.461+3.45+3.47+3.417+3.467+3.477-0.7-0.69+0.009-0.688-0.702-0.69-0.695-0.692+0.014-1.35-3.417-3.467-3.477-0.014-0.705-1.371-2.11-1.405-0.7-2.032-0.64-0.06-0.692-2.01-1.36-2.728-1.36-1.225-0.053-2.67+0.023+20.943-0.69-0.692-2.122-0.695+0.086-0.736-0.733-0.647+0.647-0.735-0.647-15.97+20.045-0.72-1.44-0.72-0.72-0.721-0.732-0.003-2.99</f>
        <v>11.999000000000008</v>
      </c>
      <c r="F655" s="25">
        <v>142500</v>
      </c>
    </row>
    <row r="656" spans="1:6">
      <c r="A656"/>
      <c r="B656" s="30">
        <v>20</v>
      </c>
      <c r="C656" s="30" t="s">
        <v>535</v>
      </c>
      <c r="D656" s="30" t="s">
        <v>233</v>
      </c>
      <c r="E656" s="53">
        <f>0.52-0.52</f>
        <v>0</v>
      </c>
      <c r="F656" s="25">
        <v>144900</v>
      </c>
    </row>
    <row r="657" spans="1:6">
      <c r="A657"/>
      <c r="B657" s="30">
        <v>20</v>
      </c>
      <c r="C657" s="30" t="s">
        <v>144</v>
      </c>
      <c r="D657" s="30" t="s">
        <v>233</v>
      </c>
      <c r="E657" s="53">
        <f>7.301-0.735-2.557+0.013+0.515+20.081-0.696-1.67-0.855-21.397+14.721-0.862-1.392-0.682-0.012+0.005-0.865-1.708-2-2.194-0.018-2.488-0.69-0.232-0.864+0.346+3.48+3.45+3.44-1.384-1.065-2.096-2.768-1.38-0.675+0.872+3.386-1.394+0.515+0.55-0.872-3.386-0.666-0.034+0.027-0.55-0.515+1.53+2.71+2.68-2.015+2.675+1.605-1.53-0.695-2.68-0.655+0.687-0.545-1.33+2.485-1.06-0.69-2.45-0.035+1.455-1.455+4.19+4.2+1.42-0.718-1.41-0.706-2.104-0.71-1.42-2.092-0.687-0.004-0.698+0.052+4.77-0.795-1.595+5.5-3.145-1.572-0.8+4.83-0.795-2.108+0.012-2.088+3.304+1.684+2.508+1.686+1.68+4.134-0.78-0.69+0.056-2.496+17.169-0.82-1.635+0.001-0.835-0.84-0.82-1.635-1.635-1.635-1.635-1.635-0.8-1.635-0.82-0.8-0.815-0.02-0.808-0.864-2.508-1.686-1.679-0.81+0.035+2.513+2.513+2.513+2.513+10.13-10.842-0.775-1.57-1.565-3.9-4.134-0.012+0.011+8.602-0.785-1.57-0.79-0.788-5.485+0.028-0.79+0.048</f>
        <v>-1.5584755708175635E-14</v>
      </c>
      <c r="F657" s="25">
        <v>147500</v>
      </c>
    </row>
    <row r="658" spans="1:6">
      <c r="A658"/>
      <c r="B658" s="30" t="s">
        <v>234</v>
      </c>
      <c r="C658" s="30" t="s">
        <v>144</v>
      </c>
      <c r="D658" s="30" t="s">
        <v>233</v>
      </c>
      <c r="E658" s="53">
        <f>9.313-0.66-0.84-2.49+0.017-0.68-3.37+0.006+0.01-1.306+10.111+1.38+3.97-3.97-2.994-1.38-4.171+4.56-0.885-1.374-1.955-0.712+0.025+2.06+2.76-0.695-0.648-0.688+4.815+2.49+2.27-1.325-2.06+0.76+0.552+0.664-3.165-2.49-2.27-0.677-0.713+0.013+0.743-0.632-0.76+0.545-1.404-0.798+2.6+3.41-0.68+2.06+0.67-1.372-0.67-0.7+1.795-1.79-0.545-0.005-0.66+0.105-1.375-0.655-0.015-0.688-1.285+3.01+1.43+2.3+1.54+2.07+0.66-0.852-0.775-1.54-2.07-2.256-0.64-1.525+0.756-0.755-0.66-0.66+2.77+3.49+3.63-3.63-0.728-1.464-0.662-0.63-0.7-0.7-0.026-0.013-0.669+2.395-1.37-0.727-2.395+2.77+2.74+4.88-4.88-2.74-1.38+5.12-2.78-0.7-0.8-0.78+4.7+4.64-0.79+0.03-0.69-0.66-4.64-0.67+4.186+4.175+1.674-0.825-2-0.835-0.831-0.014-1.37-0.825</f>
        <v>7.4610000000000012</v>
      </c>
      <c r="F658" s="25">
        <v>142500</v>
      </c>
    </row>
    <row r="659" spans="1:6">
      <c r="A659"/>
      <c r="B659" s="30">
        <v>20</v>
      </c>
      <c r="C659" s="30" t="s">
        <v>536</v>
      </c>
      <c r="D659" s="30" t="s">
        <v>233</v>
      </c>
      <c r="E659" s="53">
        <f>7.52+3.95-1.505+3.94+0.967+2.892+3.776+2.846-0.973+1.34+1.37+1.97-0.79-0.66-1.61-0.97+0.895-2.255-1.685-1.495-2.26-0.965-1.51-0.985-0.942-0.785+0.785-0.13-0.956-0.655-0.745-0.715-0.055-0.05-1.34-1.345-0.675-0.895-0.585-0.105+0.08+4.43-2.846-0.954-4.43-0.002-0.007-0.933+0.052+11.05-7.025-4.025+21.5-2.835+0.64+3.9+7.43-0.652-3.246+3.635+2.26+1.79-0.8-0.95-1.892+4.46+0.75-3.728-3.805+0.017-1.255-3.635-2.26-0.732-0.75-0.648+0.008-0.955-6.605-2.485-2.85-0.545-2.845+0.01-0.95+1.5-1.5-0.96+0.72+2.79+2.32-0.72-2.79-2.32-0.002+3.315-0.825+2.97+5.785+2.97+2.945+2.96+5.72+2.945-0.995-2.49-0.99-1.65-1.83-3.3-0.985-0.815-0.815-1.69-1.003-9.68-0.99+0.018-0.505-0.295-0.82+0.05+15.296-1.025-1.02-10.22-2.03-1.03-1.02+0.005+0.029+15.419-2.065-2.055+2.055+9.9-1.02-2.065+5.204-2.06-0.825-0.86-1.027-0.875-1.023-1.75-2.5-1.035-1.655</f>
        <v>11.763000000000007</v>
      </c>
      <c r="F659" s="25">
        <v>147500</v>
      </c>
    </row>
    <row r="660" spans="1:6">
      <c r="A660"/>
      <c r="B660" s="30" t="s">
        <v>234</v>
      </c>
      <c r="C660" s="30" t="s">
        <v>536</v>
      </c>
      <c r="D660" s="30" t="s">
        <v>233</v>
      </c>
      <c r="E660" s="53">
        <f>3.56+2.58+2.62-0.895-2.665-0.865-1.715-1.76+4.01+1.61+3.86-0.865-4.01-1.61-3.86+0.005+3.887+0.642+3.077+1.304-3.887-0.642-3.077-1.304+4.85+4.1+1.32+12.54-1.336-0.66-2.65-4.53+3.65+2.94+3.72-0.68+3.935-1.424-1.32-2.74-2.62-3.65-2.94-3.72-0.69-0.715+0.655+0.655-3.935-0.655-0.71-0.7-0.655-0.04-0.7-0.7-0.655+0.06+10.64-4-6.64+7.611+0.665+8.865-7.611-1.955-1.895-1.89-3.135-1.665+7.7+0.01-0.04-2.03+3.05+3.06+2.25-2.25-0.766-3.064-2.284+0.004-1.025+2.37+2.33+1.58+2.43+2.43+2.43+1.62-0.805-1.625-1.62-2.43-0.755-0.77-2.37-0.805-2.43-0.79-0.79-0.725-0.52-0.105+3.78+3.09+3.69-0.78-0.705-0.78-0.775-3.69-0.74-0.04-2.325+2.39-0.605-2.39-0.775+0.05+13.4-1.585-2.24-2.16-0.73-0.755-6.13+0.2+15.41-0.765-3.88-2.35-1.535-0.76+4.636+4.654+0.893-0.715-1.515-3.89</f>
        <v>11.832999999999991</v>
      </c>
      <c r="F660" s="25">
        <v>142500</v>
      </c>
    </row>
    <row r="661" spans="1:6">
      <c r="A661"/>
      <c r="B661" s="30">
        <v>20</v>
      </c>
      <c r="C661" s="30" t="s">
        <v>537</v>
      </c>
      <c r="D661" s="30" t="s">
        <v>233</v>
      </c>
      <c r="E661" s="53">
        <f>7.07+2.55+2.54-0.945+0.005-2.55+2.435+1.575-0.925+2.49-0.943-0.52-0.545-0.98+0.018-1.425-1.645-2.435-1.575-0.83-0.83+0.005+10.35+6.07+4.525-5.32-1.873-0.75-0.025+1.016-0.765-1.72-0.785-3.75-2.27-1.02+0.004+1.061-0.962+0.835-0.945-0.001-1.905-0.914-0.755-0.835-1.061-0.85+0.03+0.075+2.304+2.37+5.302-0.795-0.77-0.765-1.565-2.304-0.805-0.73-2.242+5.49+2.505+2.585-1.12-2.505-2.235+2.59+2.59-0.87-2.59-1.725+2.65-1.715+2.76-0.922+0.92-1.858-2.65+0.02-0.865+4.351+2.142+2.144+1.07+2.138-0.92-1.07-1.12-5.355-1.13+0.115-1.07-2.138-0.002-2.142-0.108+0.04+14.678-0.995+3.03+3.03+3.03+1.012-1.06-1.985-0.985-1.955-1.08-3.03-1.975-0.89-0.185</f>
        <v>10.640000000000006</v>
      </c>
      <c r="F661" s="25">
        <v>147500</v>
      </c>
    </row>
    <row r="662" spans="1:6">
      <c r="A662"/>
      <c r="B662" s="30" t="s">
        <v>234</v>
      </c>
      <c r="C662" s="30" t="s">
        <v>537</v>
      </c>
      <c r="D662" s="30" t="s">
        <v>233</v>
      </c>
      <c r="E662" s="53">
        <f>1.026+1.51+4.31+4.44-0.89-0.016-1.01-1.51-4.31-3.55+3.61+0.85+0.84+0.9+7.26+4.59+8.21-6.74-0.9-0.945-0.9-0.85-3.61-0.84-3.24-4.02-2.745-1.53+0.06+1.043+0.633+2.29-1.043-0.633+1.08+1.05-1.667-1.08+0.617-1.245+4.66+1.87+3.67-1.045-6.53-1.84-0.915+2.74+2.79-0.915-2.74-0.93-0.935-0.925</f>
        <v>7.7715611723760958E-15</v>
      </c>
      <c r="F662" s="25">
        <v>142500</v>
      </c>
    </row>
    <row r="663" spans="1:6">
      <c r="A663"/>
      <c r="B663" s="30" t="s">
        <v>234</v>
      </c>
      <c r="C663" s="30" t="s">
        <v>537</v>
      </c>
      <c r="D663" s="30" t="s">
        <v>929</v>
      </c>
      <c r="E663" s="53">
        <f>4.263+4.263+4.238+1.911+1.064+1.095-1.08-1.065-1.09</f>
        <v>13.599</v>
      </c>
      <c r="F663" s="25">
        <v>151000</v>
      </c>
    </row>
    <row r="664" spans="1:6">
      <c r="A664"/>
      <c r="B664" s="30">
        <v>20</v>
      </c>
      <c r="C664" s="30" t="s">
        <v>538</v>
      </c>
      <c r="D664" s="30" t="s">
        <v>233</v>
      </c>
      <c r="E664" s="53">
        <f>4.378+4.045+4.01+0.78-4.01-3.25+4.576+1.79-0.78+3.53-0.8+0.005+4.479-0.855-4.519-3.581+0.04-0.94+0.005-0.885-1.848+0.025-0.88+3.32+3.35+4.23-0.89+4.35+0.89-0.875-0.89-0.86-0.83-0.835-0.825-4.35-0.83-0.995-3.35-0.865-0.86+0.01-1.655-2.566+0.011+5.32+5.25+5.285-0.895-0.895-1.75-0.88-0.865-1.745-1.78-0.875-0.85-0.04-0.88+8.12+4.065+3.306-4.4-1.64-0.8-4.095-1.625-0.84-1.62-0.83-2.445+0.04-0.82-0.816+4.71+3.72-1.89-1.88-0.94-0.91-0.94-1.87+2.8+3.78-2.8+5.8-0.835-0.95+3.235+4.935+0.835+3.14+3.195+2.405-4.13-4.935+0.83+2.5-0.835-0.835+3.125+4.92-0.81-0.83-2.33-3.195-1.605-1.02-0.83-1.67-3.235-0.8-1.84+0.03-0.765-2.36-1.36-0.61-0.72-0.49-1.64-0.1+2.264+2.384+2.368+3.564+4.772+8.54-2.44-1.22-1.22-1.22+11.788+0.016-1.22-0.98-1.22-0.016-1.97-1.942-0.98-0.975-11.88-0.985-1+14.786+11.09-2.956-1.23-2.47-1.235-1.24-2.455-1.235-1.235-2.489-7.371-2.384-4.916+4.72+0.88+3.5+1.77-0.793-1.77-1.088-0.88</f>
        <v>7.4270000000000094</v>
      </c>
      <c r="F664" s="25">
        <v>147500</v>
      </c>
    </row>
    <row r="665" spans="1:6">
      <c r="A665"/>
      <c r="B665" s="30" t="s">
        <v>234</v>
      </c>
      <c r="C665" s="30" t="s">
        <v>538</v>
      </c>
      <c r="D665" s="30" t="s">
        <v>233</v>
      </c>
      <c r="E665" s="53">
        <f>8.189-1.576-0.798-0.76-1.144-0.751-0.039-1.565-1.59+0.034+4.73+5.255+5.195-5.255+2.2-0.87-1.484-1.74-0.96-0.87-3.77-0.03-0.131-0.585-0.88+2.82+2.79-1.88+1.86+1.94+2.88+0.94-1.86-2.88-0.94-0.966-2.79+0.85+2.76+3.81-0.87-0.85+0.065-0.985+0.011-0.925-1.925-0.94-1.835-1.905+0.02+3.94+2.98+3.89+3.9-0.975-1.025-0.97-3.89-0.01-0.97+16.25-0.887-1.785</f>
        <v>20.448</v>
      </c>
      <c r="F665" s="25">
        <v>152500</v>
      </c>
    </row>
    <row r="666" spans="1:6">
      <c r="A666"/>
      <c r="B666" s="30">
        <v>20</v>
      </c>
      <c r="C666" s="30" t="s">
        <v>919</v>
      </c>
      <c r="D666" s="30" t="s">
        <v>233</v>
      </c>
      <c r="E666" s="53">
        <f>1.615-0.805-0.82+0.01+4.555-1.16-1.16-1.16+6.678-1.13-1.115-2.23-2.22+0.017-1.15+0.075+11.104-1.115-1.115-1.115-1.105-1.12-1.1+3.83+3.81+2.88+0.94-1.108-0.94-1.915-0.965-0.005-1.91-1.12-0.955-0.36-2.87-0.96-0.94</f>
        <v>1.8459999999999961</v>
      </c>
      <c r="F666" s="25">
        <v>147500</v>
      </c>
    </row>
    <row r="667" spans="1:6">
      <c r="A667"/>
      <c r="B667" s="30" t="s">
        <v>234</v>
      </c>
      <c r="C667" s="30" t="s">
        <v>919</v>
      </c>
      <c r="D667" s="30" t="s">
        <v>233</v>
      </c>
      <c r="E667" s="53">
        <f>1.76+3.32-3.32-0.874-0.888+0.002+1.88+2.91-1.88-2.91+10.51+0.91-0.955</f>
        <v>10.465</v>
      </c>
      <c r="F667" s="25">
        <v>164200</v>
      </c>
    </row>
    <row r="668" spans="1:6">
      <c r="A668"/>
      <c r="B668" s="30">
        <v>20</v>
      </c>
      <c r="C668" s="30" t="s">
        <v>920</v>
      </c>
      <c r="D668" s="30" t="s">
        <v>233</v>
      </c>
      <c r="E668" s="53">
        <f>0.68-0.68</f>
        <v>0</v>
      </c>
      <c r="F668" s="25">
        <v>156000</v>
      </c>
    </row>
    <row r="669" spans="1:6">
      <c r="A669"/>
      <c r="B669" s="30">
        <v>20</v>
      </c>
      <c r="C669" s="30" t="s">
        <v>539</v>
      </c>
      <c r="D669" s="30" t="s">
        <v>233</v>
      </c>
      <c r="E669" s="53">
        <f>11.314-1.105+4.13+4.13+4.13+2.754-1.1-1.115-1.41-1.1-1.37-2.75-1.37-1.1-0.03-1.365-1.1-5.485-4.309-1.394-0.03+5.66-0.95-0.895-0.961-0.96-0.95</f>
        <v>1.2689999999999955</v>
      </c>
      <c r="F669" s="25">
        <v>147500</v>
      </c>
    </row>
    <row r="670" spans="1:6">
      <c r="A670"/>
      <c r="B670" s="30" t="s">
        <v>234</v>
      </c>
      <c r="C670" s="30" t="s">
        <v>539</v>
      </c>
      <c r="D670" s="30" t="s">
        <v>233</v>
      </c>
      <c r="E670" s="53">
        <f>13.985-1.05-1.075-1.11-1.12-2.15+0.02-2.18-3.15-2.18+0.01+7.89+3.04+3.18+4.275-3.94-3.95-3.04-4.275-1.07+5.35+6.46+7.55+2.09+0.005-2.15-1.065-1.08-1.07-1.05+0.01-4.32-1.085-1.08-1.05-3.235-0.005-3.205-0.035+4.78+4.77-0.965-0.96-1.035</f>
        <v>9.7349999999999959</v>
      </c>
      <c r="F670" s="25">
        <v>152500</v>
      </c>
    </row>
    <row r="671" spans="1:6">
      <c r="A671"/>
      <c r="B671" s="30">
        <v>20</v>
      </c>
      <c r="C671" s="30" t="s">
        <v>540</v>
      </c>
      <c r="D671" s="30" t="s">
        <v>233</v>
      </c>
      <c r="E671" s="53">
        <f>3.645+3.82+0.98-0.935-1.175-1.242-0.98-1.94-1.24-0.96+0.027+2.81+1.85+0.94-1.87-1.85-0.94+7.51+3.69-0.94-0.925+7.595+1.075-2.77-0.93-3.69-7.595-1.075-0.915-0.92-0.885-0.035-0.13+2.94+1.97-1.97-0.984-0.984-0.972+5.96-2.945-1.45-1.565+3.585+3.585+4.525+4.52+1.5+3.59-1.2-3.585-2.385-4.52-2.38-2.145-3.59-1.5+23.836+1.6-1.6-1.597-1.6-3.2-1.6-3.203-3.19-4.81+15.05-1.6-0.99-1.596-3.01-1.99-3.02-0.99-1-0.01-3.03-1.528+0.088+3.59+6.58-3.59-0.946-1.872</f>
        <v>4.7720000000000002</v>
      </c>
      <c r="F671" s="25">
        <v>144900</v>
      </c>
    </row>
    <row r="672" spans="1:6">
      <c r="A672"/>
      <c r="B672" s="30">
        <v>20</v>
      </c>
      <c r="C672" s="30" t="s">
        <v>541</v>
      </c>
      <c r="D672" s="30" t="s">
        <v>233</v>
      </c>
      <c r="E672" s="53">
        <f>5.61-1.87-3.74+2.8+2.82+4.65+0.87-1.875+0.005-0.87-2.8-0.945-0.945+2.59+2.52-0.845+3.655+1.225+1.22-0.935-3.655-1.675-1.22-0.86-1.225-0.865-1.85-0.005-0.865-0.93+0.01+5.3-5.3+4.21-4.21+2.95+1.98-2.95+4.29+1.1+2.15+3.245+3.215+1.03+2.11-1.98-1.03-1.055+2.145+1.06-1.095+4.245-1.1-2.145-1.06-4.245-1.105-1.07+0.015-1.08-1.08-1.085+0.04-3.215+4.33-0.94-2.15-2.56-2.145+0.015-0.835+0.005+5.165+5.175+5.18-1.297-3.9-5.165+0.017-2.58-1.3-1.295+1+4.75+4.69-0.96-1.87-1-3.79-2.82+5.195+5.085-1.315-1.296-1.29-1.305+14.998-1.255-2.97-1.305-2.985-1.31+0.1-1.495-1.325+0.021-3.005-1.5+10.944+10.702-1.575-1.56-1.57-4.63-1.57-7.71-1.57-0.043-1.5+10.968-1.56-0.039-1.422-1.654</f>
        <v>9.2540000000000084</v>
      </c>
      <c r="F672" s="25">
        <v>157500</v>
      </c>
    </row>
    <row r="673" spans="1:6">
      <c r="A673"/>
      <c r="B673" s="30" t="s">
        <v>234</v>
      </c>
      <c r="C673" s="30" t="s">
        <v>541</v>
      </c>
      <c r="D673" s="30" t="s">
        <v>233</v>
      </c>
      <c r="E673" s="53">
        <f>2.67+2.8+1.75+2.76-1.75-1.85-0.91-2.67-0.94-0.95-0.93+0.02+5.37+4.01-0.975-0.96-1.042-1.055-1.085</f>
        <v>4.2630000000000017</v>
      </c>
      <c r="F673" s="25">
        <v>163000</v>
      </c>
    </row>
    <row r="674" spans="1:6">
      <c r="A674"/>
      <c r="B674" s="30">
        <v>20</v>
      </c>
      <c r="C674" s="30" t="s">
        <v>542</v>
      </c>
      <c r="D674" s="30" t="s">
        <v>233</v>
      </c>
      <c r="E674" s="53">
        <f>2.43-1.22+2.395-2.395-1.21+2.84+2.85-0.937+3.62+1.205-1.23-2.85+3.2-1.205+3.105-2.12+1.215+3.635-1.005+0.02-2.42+0.03-2.44-3.2-1.215-1.22-1.903+0.025+2.67+2.7-0.928-0.89-0.904+4.62+6.252-0.872-0.88-6.223-0.852-0.044-0.029-1.53-1.528-1.562-0.003+0.003+3.955-3.955+6.525+2.535+3.885+3.895-3.895-5.21-1.315-2.535-3.885+5.95+1.47+2.998-2.998-1.47-0.012-5.94+0.002+29.868-3.315-1.53-1.51-1.665-3.32-8.02</f>
        <v>10.507999999999996</v>
      </c>
      <c r="F674" s="25">
        <v>147500</v>
      </c>
    </row>
    <row r="675" spans="1:6">
      <c r="A675"/>
      <c r="B675" s="30" t="s">
        <v>234</v>
      </c>
      <c r="C675" s="30" t="s">
        <v>542</v>
      </c>
      <c r="D675" s="30" t="s">
        <v>233</v>
      </c>
      <c r="E675" s="53">
        <f>2.8+2.8-1.892-2.8+3.58+0.85+0.78-0.895+4.39+0.88-1.745-3.525+3.58+1.75-0.85-3.58+4.53-0.917-2.726</f>
        <v>7.0100000000000025</v>
      </c>
      <c r="F675" s="25">
        <v>174400</v>
      </c>
    </row>
    <row r="676" spans="1:6">
      <c r="A676"/>
      <c r="B676" s="30">
        <v>20</v>
      </c>
      <c r="C676" s="30" t="s">
        <v>801</v>
      </c>
      <c r="D676" s="30" t="s">
        <v>233</v>
      </c>
      <c r="E676" s="53">
        <f>1.875+2.79+1.94-1.875-2.79-1.94</f>
        <v>0</v>
      </c>
      <c r="F676" s="25">
        <v>156000</v>
      </c>
    </row>
    <row r="677" spans="1:6">
      <c r="A677"/>
      <c r="B677" s="30">
        <v>20</v>
      </c>
      <c r="C677" s="30" t="s">
        <v>543</v>
      </c>
      <c r="D677" s="30" t="s">
        <v>233</v>
      </c>
      <c r="E677" s="53">
        <f>4.37-0.872-0.896-1.708+3.61+3.67-1.23-1.22-1.22-1.21+0.04+8.545-1.245-1.23-1.21-2.415+0.89+0.91+3.62-1.24-0.89-0.91-3.62-0.882+2.25-3.67-2.25+0.013+7.315+1.175-0.012-1.273+0.012-1.175-1.225-1.16-1.28+4.525+4.535-1.223+4.52-2.28-4.525-4.52-1.195-2.275+0.041+0.02+4.715+4.74+1.59+4.755-1.59-1.575-1.59-3.165-1.562-1.55-3.178-1.59+5.65+5.635+1.855-2.845+2.86+2.87-2.805-2.86-1.91+0.97+2.93+0.9-0.9-0.97-2.93-0.964+0.004-1.885+0.03-1.88+10.416-1.89-1.51-1.485-1.465-1.49-1.865-4.47+0.004+15.82-5.932-1.98-1.975-1.985-1.973-1.98+0.005+14.645-11.025+1.675-1.675-3.665+0.045+11.39+4.5+3.6-2.74+10.954-2.67-1.83-6.31-1.565-1.525-1.57+0.016+10.98+7.256+3.656+7.31+3.654-1.83-1.83-3.66-2.67-0.95-0.006-1.824-10.98-1.766-3.656-0.068-1.835-0.53-0.355-5.515+0.114+16.694-1.875-0.885-3.705-0.9-7.48</f>
        <v>9.5940000000000047</v>
      </c>
      <c r="F677" s="25">
        <v>169500</v>
      </c>
    </row>
    <row r="678" spans="1:6">
      <c r="A678"/>
      <c r="B678" s="30" t="s">
        <v>234</v>
      </c>
      <c r="C678" s="30" t="s">
        <v>543</v>
      </c>
      <c r="D678" s="30" t="s">
        <v>233</v>
      </c>
      <c r="E678" s="53">
        <f>2.7+2.87-0.96-2.7-1.914+0.004+4.43-1.115+2.15-1.13-2.23+0.045-1.08-1.08+0.01+1.96+2.88+2.88-1.96-2.88-2.88+2.69+0.91+4.47-0.91-4.47-0.891-0.886+3.58+1.82+2.58+2.6-0.946-1.654-0.166-2.58-2.6-0.054-0.76+3.85+3.88+1.83+0.97+0.92-0.952-3.88-0.92-3.85-0.97-0.913-0.868-0.915-0.915+15.96-0.96-1.91-2.86-0.93-1.89</f>
        <v>7.4100000000000046</v>
      </c>
      <c r="F678" s="25">
        <v>174400</v>
      </c>
    </row>
    <row r="679" spans="1:6">
      <c r="A679"/>
      <c r="B679" s="30">
        <v>20</v>
      </c>
      <c r="C679" s="30" t="s">
        <v>544</v>
      </c>
      <c r="D679" s="30" t="s">
        <v>233</v>
      </c>
      <c r="E679" s="53">
        <f>5.684+4.825-0.91-0.905-1.206-0.515-0.52-1.81+0.005-1.215-1.215-1.215+0.026+4.855-1.235-1.21-1.23-1.21+0.03-1.003-0.026+4.505+4.52+2.28+1.21-4.52-2.28-3.39-1.21+1.155-1.145+0.03-1.155+3.08+3.12-3.12-1.55+4.805+4.775-1.602-1.61+2.95+1.445+1.45+1.455-1.605-2.95-4.775-1.445-1.455+0.012+1.6+1.61-1.45-1.6-1.61-1.53+4.2+0.93+2.79+0.9-0.93+5.96+9.126-0.9-3-1.688-2.53-2.79+0.018-1.49-1.485-9.111+9.88-1.65+10.06-3.295-0.53-6.09-1.65-1.654+0.013-1.505+0.07+7.495+3.73+2.961-0.021-1.875+1.875-1.875</f>
        <v>15.939000000000004</v>
      </c>
      <c r="F679" s="25">
        <v>169500</v>
      </c>
    </row>
    <row r="680" spans="1:6">
      <c r="A680"/>
      <c r="B680" s="30" t="s">
        <v>234</v>
      </c>
      <c r="C680" s="30" t="s">
        <v>544</v>
      </c>
      <c r="D680" s="30" t="s">
        <v>233</v>
      </c>
      <c r="E680" s="53">
        <f>3.64+1.67-1.67-0.91-0.915+3.74+3.53-0.95-1.82+0.005-1.715-0.88-0.885-0.985</f>
        <v>1.8550000000000018</v>
      </c>
      <c r="F680" s="25">
        <v>174400</v>
      </c>
    </row>
    <row r="681" spans="1:6">
      <c r="A681"/>
      <c r="B681" s="30">
        <v>20</v>
      </c>
      <c r="C681" s="30" t="s">
        <v>545</v>
      </c>
      <c r="D681" s="30" t="s">
        <v>233</v>
      </c>
      <c r="E681" s="53">
        <f>0.9+3.85-1.93-0.9-1.92+3.57+0.76+2.69-0.76-1.78-3.57+3.585-1.19+2.38+4.42-1.2-1.18-1.21+0.015-1.2-0.02-1.135-0.89-0.015-1.11+2.7+2.7+2.67+2.7-1.795-2.7-2.67-1.8-0.56-0.58-0.905-1.055-0.9+0.035+3.16+1.585+1.59-1.59+1.565+1.585-1.572-1.595+0.007-1.585-1.585-1.565+9.436+3.175+1.58+1.575+1.578+1.568+1.582-3.175-0.005+1.568+1.58-1.568-1.58-1.575-1.575-1.582-1.574-0.004-1.568-3.165-1.545-3.1-1.626+9.962+15.85-9.962-15.932+0.082+15.565+11.21-1.865-3.77-1.88-3.695-0.035-2.24-4.45-8.94+0.1</f>
        <v>3.9135361618036768E-15</v>
      </c>
      <c r="F681" s="25">
        <v>157500</v>
      </c>
    </row>
    <row r="682" spans="1:6">
      <c r="A682"/>
      <c r="B682" s="30" t="s">
        <v>234</v>
      </c>
      <c r="C682" s="30" t="s">
        <v>545</v>
      </c>
      <c r="D682" s="30" t="s">
        <v>233</v>
      </c>
      <c r="E682" s="53">
        <f>2.37+2.285-2.37-1.155-1.15+0.02+2.145-2.145+2.17-2.17+1.095-1.095+3.43+0.79-0.79-1.705-0.87-0.885+0.03+2.64+1.93+3.88-2.64-1.93-1.95-0.985-0.945+3.81+2.87+1.93-0.996-3.81-2.87-0.934+4.92+5.07-3.435-0.845-0.835</f>
        <v>4.8749999999999982</v>
      </c>
      <c r="F682" s="25">
        <v>162500</v>
      </c>
    </row>
    <row r="683" spans="1:6">
      <c r="A683"/>
      <c r="B683" s="30">
        <v>20</v>
      </c>
      <c r="C683" s="30" t="s">
        <v>546</v>
      </c>
      <c r="D683" s="30" t="s">
        <v>233</v>
      </c>
      <c r="E683" s="53">
        <f>3.59+2.4-2.4-3.59+4.735+3.365+2.235-2.375-1.19-1.17-1.07-3.365-1.165-0.61+1.05-1.05+0.61+3.72-3.72+1.235-1.235+4.76-4.76+3.125+3.092-1.548-1.577-3.092+1.54+1.575+6.27+1.605-1.605-6.27-1.54-1.575+33.791+15.888-1.985-6+7.18-9.93-19.95-5.975-1.995-2.148-3.871-1.866-1.535-2+0.374+0.022+9.92+21.86+9.615+1.135+6.765+3.35-1.12-2.23-0.504-1.97+4.675+6.99+9.37+7.764+7.826+5.848-1.975+1.115-1.92-6.99-1.135-1.115-1.97-1.899-0.086-4.775-1.975-2.3</f>
        <v>64.269000000000005</v>
      </c>
      <c r="F683" s="25">
        <v>162000</v>
      </c>
    </row>
    <row r="684" spans="1:6">
      <c r="A684"/>
      <c r="B684" s="30">
        <v>20</v>
      </c>
      <c r="C684" s="30" t="s">
        <v>547</v>
      </c>
      <c r="D684" s="30" t="s">
        <v>233</v>
      </c>
      <c r="E684" s="53">
        <f>4.56+2.1-4.56-2.1+10.88</f>
        <v>10.88</v>
      </c>
      <c r="F684" s="25">
        <v>166000</v>
      </c>
    </row>
    <row r="685" spans="1:6">
      <c r="A685"/>
      <c r="B685" s="30" t="s">
        <v>234</v>
      </c>
      <c r="C685" s="30" t="s">
        <v>548</v>
      </c>
      <c r="D685" s="30" t="s">
        <v>233</v>
      </c>
      <c r="E685" s="53">
        <f>0.904+0.45+1.798+3.06-2.399-0.904-0.303-1.798-0.262-0.399-0.257+0.11-0.69+0.69-1.27+1.27</f>
        <v>0</v>
      </c>
      <c r="F685" s="25">
        <v>165000</v>
      </c>
    </row>
    <row r="686" spans="1:6">
      <c r="A686"/>
      <c r="B686" s="30">
        <v>20</v>
      </c>
      <c r="C686" s="30" t="s">
        <v>549</v>
      </c>
      <c r="D686" s="30" t="s">
        <v>233</v>
      </c>
      <c r="E686" s="53">
        <f>20.455-0.575-0.575-0.575-1.14-2.26-0.575-0.57-3.395-9.67+0.045-1.165+10.54-1.585-4.905+0.446+9.982+8.332-0.53-0.51-0.5-0.53-1.545-0.53-3.594-1.016+2.378-6.404-1.416</f>
        <v>8.6129999999999924</v>
      </c>
      <c r="F686" s="25">
        <v>142500</v>
      </c>
    </row>
    <row r="687" spans="1:6">
      <c r="A687"/>
      <c r="B687" s="30" t="s">
        <v>234</v>
      </c>
      <c r="C687" s="30" t="s">
        <v>549</v>
      </c>
      <c r="D687" s="30" t="s">
        <v>233</v>
      </c>
      <c r="E687" s="53">
        <f>24.652-19.719+3.984-4.446-3.984+9.912+0.012+9.687-9.912-2.302+20.765-3.89-2.325-0.515+0.016-2.835-2.665-1.13-1.301-0.948-1.69-0.632-0.572-2.777-3.13-4.258+0.003-0.505+1.649+3.773+3.791+3.804+3.882+2.106-0.54-0.565-0.53-3.882-1.649-0.535-0.526-1.639-0.55-0.52-0.545-3.773-1.086-1.085+4.086+1.46-0.522+0.406+4.39-0.494-1.075-3.07-1.46-0.406-4.39+8.092+2.016-4.036-0.516-4.056-1.5+6.45+1.958-8.408+7.81-6.94+0.08+10.938-0.95-1.475-0.932-2.29-1.326-0.899+8.356-1.05-0.965-2.573</f>
        <v>7.7840000000000025</v>
      </c>
      <c r="F687" s="25">
        <v>157500</v>
      </c>
    </row>
    <row r="688" spans="1:6">
      <c r="A688"/>
      <c r="B688" s="30">
        <v>20</v>
      </c>
      <c r="C688" s="30" t="s">
        <v>550</v>
      </c>
      <c r="D688" s="30" t="s">
        <v>233</v>
      </c>
      <c r="E688" s="53">
        <f>12.737-0.57-0.722-0.704-0.714-0.664-1.38-0.648-0.72-0.732-0.714-0.714-1.347-0.693+0.027-0.64-0.606-0.66+0.062-0.598+5.75-5.75+5.01+5.04+5.645-2.15-1.435-1.425-1.44-0.71+5.365-0.715-0.72-2.67+4.775-3.5-0.68-3.6-0.5-1.35-0.675-0.715+3.3-2.165+4.29-0.665-1.43+2.015-1.435-0.72-2.015-1.96+4.685+2.83+2.84+2.78+2.795+2.84+2.14+0.705+2.555+2.67+2.815+0.009-0.72+0.015-0.705-0.005-0.715-2.83-2.55-0.005-0.72-0.72-1.42-0.705-0.71-1.395-0.72-0.67-0.009-0.68-0.021-0.715-0.68-1.99-0.665-0.67-0.685-0.705-6.265-2.67-0.12+17.947+2.829-0.715-1.715+0.699-0.703+0.114-0.728-0.701-2.749-1.3-0.693+0.008-0.67</f>
        <v>13.602000000000004</v>
      </c>
      <c r="F688" s="25">
        <v>137500</v>
      </c>
    </row>
    <row r="689" spans="1:6">
      <c r="A689"/>
      <c r="B689" s="30" t="s">
        <v>234</v>
      </c>
      <c r="C689" s="30" t="s">
        <v>550</v>
      </c>
      <c r="D689" s="30" t="s">
        <v>233</v>
      </c>
      <c r="E689" s="53">
        <f>15.744-9.3-1.198-0.57+0.008-0.615+10.478-8.052-0.59-0.58+9.982-0.66-0.655-0.68-0.588-0.604+0.004-0.635-1.176-0.64+0.017-8.043-1.703+0.056+4.854+4.54+4.322+0.596-4.322-1.282-0.668-0.682+4.507+3.412+3.073-3.073-4.507-0.715-1.388-0.7-2.05-0.636-0.596-0.672+3.616+1.058</f>
        <v>8.6869999999999976</v>
      </c>
      <c r="F689" s="25">
        <v>169300</v>
      </c>
    </row>
    <row r="690" spans="1:6">
      <c r="A690"/>
      <c r="B690" s="30">
        <v>20</v>
      </c>
      <c r="C690" s="30" t="s">
        <v>551</v>
      </c>
      <c r="D690" s="30" t="s">
        <v>233</v>
      </c>
      <c r="E690" s="53">
        <f>9.937-2.355-1.665+0.702+0.682+0.72+0.688+0.716+0.756+0.736+0.728+0.87+0.69-0.684+0.002-0.72-0.688-0.716-0.756-0.02-1.705-0.716-0.728-0.87-0.726+0.036-1.7-0.702-0.86+10.48-0.688-0.702-0.696-0.7-0.692-0.69-0.047-0.708+3.441-0.66-1.413-0.706-0.704-0.01-0.702-0.7-0.68-0.004-0.022-0.72-0.677-0.664-0.669-1.666-0.019+0.014-0.685+0.037+3.285+13.17-6.585+3.295-1.67-0.82+4.773+4.748+0.798+3.065+3.345+3.26+1.54+2.495+4.12+3.295+3.215+3.065+2.47-0.79-0.815-2.495-2.47-0.785-0.82+0.015-0.85-0.82-0.77-0.77-1.62-0.8-0.75-1.56-0.835-0.81-3.31-2.425-0.055-0.798-2.402-2.423-0.762</f>
        <v>20.943999999999988</v>
      </c>
      <c r="F690" s="25">
        <v>164200</v>
      </c>
    </row>
    <row r="691" spans="1:6">
      <c r="A691"/>
      <c r="B691" s="30" t="s">
        <v>234</v>
      </c>
      <c r="C691" s="30" t="s">
        <v>551</v>
      </c>
      <c r="D691" s="30" t="s">
        <v>233</v>
      </c>
      <c r="E691" s="53">
        <f>6.6+1.33+9.828-6.608-1.33-9.828+0.008+0.658+7.67-0.702-0.686-0.64-0.66-0.704-0.728-0.02-0.658-0.708+20.772-0.735-0.765-1.443-0.765-0.646-0.696-0.758-0.01-0.72-0.728+0.016-0.765-2.245-1.405-0.77-2.245-0.78-7.336-0.169-0.725+0.096+4.861+4.96+4.894+4.774-1.665-0.835-0.825-4.894-4.774-0.835-0.84-0.696-0.099-4.026+9.13-1.394-1.182-1.31-1.304-0.672-0.678-0.646-0.632-1.284-0.028+0.028+7.668+8.278-0.748-0.732-0.714-0.722-0.692-0.656-0.7-10.982-0.028+0.632+0.664+0.674+3.424-5.394+3.538+0.606-0.71-0.702+2.707+4.538+3.522-0.8-3.522-0.732-0.7-2.707-3.833+0.095+10.766</f>
        <v>12.065999999999997</v>
      </c>
      <c r="F691" s="25">
        <v>165000</v>
      </c>
    </row>
    <row r="692" spans="1:6">
      <c r="A692"/>
      <c r="B692" s="30">
        <v>20</v>
      </c>
      <c r="C692" s="30" t="s">
        <v>552</v>
      </c>
      <c r="D692" s="30" t="s">
        <v>233</v>
      </c>
      <c r="E692" s="53">
        <f>5.376-0.88-2.645-0.915+8.646-1.692-0.854-0.862-0.25-0.894-0.87-0.874-0.878-0.936-1.47-0.002+0.738+0.764+0.732-0.764-0.732-0.738+0.87+0.878+0.886+0.904-0.87-0.878-0.886-0.904+3.85-0.96+2.88+3.835+2.865-2.89+2.865+3.86-2.88-2.865-3.86-3.835-2.865+4.51+2.735+0.88+4.5+3.62+2.645-4.51-0.88-0.005-1.83+17.378-0.975-2.64-4.5-1.835-0.91-0.91-0.11-0.91-0.815+0.105-8.215-5.505-0.925-0.916+0.018+16.262-5.12-2.05-1-1.02-1.01-1.01-5.052+5.545+10.225-5.545-5.64+5.464-5.464</f>
        <v>4.5849999999999955</v>
      </c>
      <c r="F692" s="25">
        <v>164200</v>
      </c>
    </row>
    <row r="693" spans="1:6">
      <c r="A693"/>
      <c r="B693" s="30" t="s">
        <v>234</v>
      </c>
      <c r="C693" s="30" t="s">
        <v>552</v>
      </c>
      <c r="D693" s="30" t="s">
        <v>233</v>
      </c>
      <c r="E693" s="53">
        <f>0.632+10.454-2.685+7.804-4.405-2.64-3.399-1.656-1.755-0.89-0.87-0.64+0.008+0.042+3.555+3.584+3.619+3.661+3.624+2.683-0.89-1.79-0.93-0.875-0.005-0.89-0.9-1.81-0.859-1.809-3.661-3.624-2.683+10.85+0.898+0.93+0.952+0.82+0.93-0.874+15.568-0.952-0.912-0.886+4.75</f>
        <v>32.073999999999998</v>
      </c>
      <c r="F693" s="25">
        <v>169300</v>
      </c>
    </row>
    <row r="694" spans="1:6">
      <c r="A694"/>
      <c r="B694" s="30">
        <v>20</v>
      </c>
      <c r="C694" s="30" t="s">
        <v>553</v>
      </c>
      <c r="D694" s="30" t="s">
        <v>233</v>
      </c>
      <c r="E694" s="53">
        <f>9.264+5.094-1.046-1.006-0.994-1.04-1.028-0.002-1.026-0.012-1.028-0.994-1.028-1.042-1.028-1.004-0.992-1.088+1.018+1.01+1+0.812+1.058+0.982-1.018-1.01-1.058-0.812-0.982+1.105+1.164-1+1.125+3.285+1.105-1.125-2.185-1.105-1.105-1.1-0.059-1.105+4.475+5.33-1.115-1.086-1.045+15.099-3.36-1.07-0.288-1.08-1.035-1.855+0.014-2.206-1.05-2.19-5.53-2.15+0.142+11.979-1-1-1+7.963-7.963-8.979+5.264-1.08+10.324-1.062-1.078+14.775-4.184</f>
        <v>22.959</v>
      </c>
      <c r="F694" s="25">
        <v>147500</v>
      </c>
    </row>
    <row r="695" spans="1:6">
      <c r="A695"/>
      <c r="B695" s="30" t="s">
        <v>234</v>
      </c>
      <c r="C695" s="30" t="s">
        <v>553</v>
      </c>
      <c r="D695" s="30" t="s">
        <v>233</v>
      </c>
      <c r="E695" s="53">
        <f>4.459-2.656+1.034+7.326-0.935+2.114+2.018+1.03-1.03-3.145-2.114-0.992-1.034-1.068-2.08-1.803-1.026-0.126+0.028+4.439+4.441+4.433+3.323+2.219+2.135-1.11+1.008+1.032+0.822+1+1.054+0.978+1.038+1.022+1.022+1.028+1.024-1.109-0.001-1.008-1.032-0.822-1-1.054-0.978-1.038-1.022-1.022-1.024-4.439-4.441-4.433-3.323-1.028+4.533+4.5+4.5+4.487+2.22-3.37-1.095-2.22-0.03-2.26-4.533-4.487-1.11+0.836+1.026+1.008+1.058+1.624-1.13-0.005+1.998-1.026-1.03-1.104-1.058-1.624-1.008-0.836+7.334-1.054-1.018-1-1.074-5.186+4.51+1.54+4.098-1.54-1.552-0.904-2.546-0.928</f>
        <v>2.6780000000000048</v>
      </c>
      <c r="F695" s="25">
        <v>157500</v>
      </c>
    </row>
    <row r="696" spans="1:6">
      <c r="A696"/>
      <c r="B696" s="30">
        <v>20</v>
      </c>
      <c r="C696" s="30" t="s">
        <v>554</v>
      </c>
      <c r="D696" s="30" t="s">
        <v>233</v>
      </c>
      <c r="E696" s="53">
        <f>6.124-0.984-2.08-0.225-0.158-1.042-1.02-0.63+0.015+1+1.012+1.008+0.932+0.986+1.022+0.98+1.038-1.022-1-1.008-0.986-1.012-0.932+0.996+0.978+0.99+1.022+1.008+1.014-1.022-0.98-1.038-0.99-1.008-1.014+0.788+0.808+1.01+1.02-0.788-0.808-1.01+1.024+0.908-1.024-0.996-0.012-1.02+0.94+0.99+0.916+0.99+1.04-0.916-0.94-0.99-0.99-1.04-0.908-0.99+0.024+1.08+1.024+1.024+1.056+1.004+1.048+1.024+1.018+1.014-1.08-1.024-1.024-1.024-1.018-1.014-1.056-1.004-1.048+4.88+2.93+2.895-1-0.985-0.985-0.97-0.94-0.975-0.98+5.622-1.115-1.12-0.975-2.895-3.35-0.037+0.998+1.002+0.986+3.722+1.05+1.024+1.082+1.024-1.082+10.89-5.445-1.072</f>
        <v>14.178999999999995</v>
      </c>
      <c r="F696" s="25">
        <v>164200</v>
      </c>
    </row>
    <row r="697" spans="1:6">
      <c r="A697"/>
      <c r="B697" s="30" t="s">
        <v>234</v>
      </c>
      <c r="C697" s="30" t="s">
        <v>554</v>
      </c>
      <c r="D697" s="30" t="s">
        <v>233</v>
      </c>
      <c r="E697" s="53">
        <f>4.948+1.012+1.002-1.042-1.012-1.002-3.906+0.986+1.014+0.99+1.022+0.974+1.024+6.094-0.986-1.014-0.99-1.022-0.974-1.024-6.094+1.016+1.056+1.022+1.01+0.976+1.018+1.04+1.006+1.052+1.028+0.982+1+0.996+0.944+0.994-1.016-0.924-13.2+12.194-4.016-2.056-1.01-2.084+1.004+0.774-1.052-1.004-0.774-1.976+5.276-0.898</f>
        <v>4.3780000000000028</v>
      </c>
      <c r="F697" s="25">
        <v>169300</v>
      </c>
    </row>
    <row r="698" spans="1:6">
      <c r="A698"/>
      <c r="B698" s="30">
        <v>20</v>
      </c>
      <c r="C698" s="30" t="s">
        <v>555</v>
      </c>
      <c r="D698" s="30" t="s">
        <v>233</v>
      </c>
      <c r="E698" s="53">
        <f>0.936+0.974+0.978+1.024-0.978-1.024+0.954+1.002+0.98+0.996+0.98+0.968+0.994+1.044-1.044+1.044-0.954-0.994+5.18+1.03+1.035+1.04+1.035+2.105+1.045+1.04+1.03+1.055-1.044-1.04-1.03-0.98-0.98-1.03-1.03-0.015-0.936-0.974-1.002-0.996-0.968-1.03-1.035-1.01-0.03-1.06-1.055-1.045-1.055-1.04-0.005-1.04+0.005-1.03-1.005-0.03+0.015+3.385+3.62+2.295+12.05+2.295-1.19-1.155-2.41-1.14-1.325-0.975-2.295-2.295-1.205-1.215-1.205-1.19-3.62+4.476+5.6-5.6-0.23-1.12-2.425-2.25-0.89+0.014+24.83-1.375-2.79-1.39-1.37-1.4-1.41-1.375-1.385-1.374-0.016</f>
        <v>10.944999999999991</v>
      </c>
      <c r="F698" s="25">
        <v>147500</v>
      </c>
    </row>
    <row r="699" spans="1:6">
      <c r="A699"/>
      <c r="B699" s="30" t="s">
        <v>234</v>
      </c>
      <c r="C699" s="30" t="s">
        <v>555</v>
      </c>
      <c r="D699" s="30" t="s">
        <v>233</v>
      </c>
      <c r="E699" s="53">
        <f>4.834+0.96+1.032+1.078+1.006+1.06+1.026+1.076+1.058+1.098+1.082+1.018-0.978-0.984-0.115-1.082-1.06-0.952-0.928-1.098-0.992+1.01-0.96-1.032-0.963-1.006-1.026-1.076-1.058-1.018+0.99+1.026+0.978+1.024+0.994+1.002+1.028+1.044+1.004+1.048+1.01+0.814-1.01+0.92+1.048+1.01+1.04+0.98+1.036+1.01+1.028+0.94+1.075+1.055+0.974-1.004-1.075-1.055-1.01-0.99-1.026-0.978-1.024-0.994-1.002-1.028-1.044-1.048-1.01-0.814-1.028-0.94-0.974-0.92+0.826+0.952+0.936+0.992+0.968+0.924+1.026+0.952+0.96+0.992+0.954+0.942+1.014+0.988-1.01-1.026-1.04-1.036-1.014-1.048-0.98-0.954-0.924-0.952-4.676-0.992-0.992-0.96+4.958+1.994-1.994+2.95+0.904-1.994-1.016-0.956</f>
        <v>5.782</v>
      </c>
      <c r="F699" s="25">
        <v>157500</v>
      </c>
    </row>
    <row r="700" spans="1:6">
      <c r="A700"/>
      <c r="B700" s="30">
        <v>20</v>
      </c>
      <c r="C700" s="30" t="s">
        <v>556</v>
      </c>
      <c r="D700" s="30" t="s">
        <v>233</v>
      </c>
      <c r="E700" s="53">
        <f>8.156+0.966+1.054+0.922+0.874+2.062-0.98-2.062-1.984-2.14-0.023-4.032-0.966-0.074-0.899-0.031-0.87+0.027+1.026+1.022+0.978+1.01+0.996+0.972-1.026-1.022-0.978-1.01-0.996+1.215+1.245+1.18+5.005-5.025+0.02-0.128-0.844-1.215-1.245-1.2+0.02+4.475+1.13+1.125+1.11-4.48+0.005-1.13+1.072+1.036+1.012+0.99+1.05-1.036-1.012-1.05+10.77-1.125-1.11-1.065-1.075-0.38-0.007-2.875+0.02-0.007-6.466+0.006+0.007-0.125+1.735-0.87+0.005+10.82+9.192+9.188-3.06-2.205-1.53-1.112-4.7+1.535-3.065-1.535-1.117</f>
        <v>14.145999999999997</v>
      </c>
      <c r="F700" s="25">
        <v>147500</v>
      </c>
    </row>
    <row r="701" spans="1:6">
      <c r="A701"/>
      <c r="B701" s="30" t="s">
        <v>234</v>
      </c>
      <c r="C701" s="30" t="s">
        <v>556</v>
      </c>
      <c r="D701" s="30" t="s">
        <v>233</v>
      </c>
      <c r="E701" s="53">
        <f>0.998+3.898+5.214-1.955-1.062-0.908-1.128-0.007-0.95-1.068-0.001-0.001-0.998-0.993-1.059+0.02+0.93+1.002+0.95+0.652+0.978-1.002-0.95-0.978-0.93-0.652+0.836+1.026+0.954+1.034+1.024+1.062-1.062-1.026-0.954-1.034-1.024-0.836+1.05+1.026+1.02+1.03+1.045+0.99+1.004+1.004+1.014-1.02-1.05-1.026-1.03-1.045-1.004-1.004-0.99-1.014+1.024+9.194-1.03-1.024-0.99-1.048-1.024-1.02-0.996-1.014+10.616+1.078+1.064-1.06-1.02-1.072+1.072</f>
        <v>12.75</v>
      </c>
      <c r="F701" s="25">
        <v>169300</v>
      </c>
    </row>
    <row r="702" spans="1:6">
      <c r="A702"/>
      <c r="B702" s="30">
        <v>20</v>
      </c>
      <c r="C702" s="30" t="s">
        <v>557</v>
      </c>
      <c r="D702" s="30" t="s">
        <v>233</v>
      </c>
      <c r="E702" s="53">
        <f>4.195+5.585+1.63+1.405+1.385+1.4+1.4-1.63-4.195-1.395-1.405-1.4-1.4+5.035+5.085+5.07-5.035-3.39-1.68-5.085-1.385-1.405+6.986+4.086-4.086-5.545-2.805+0.02-1.441+19.756-1.495-1.515-1.515+15.87-1.57-1.59-7.928-3.2-1.59+0.008-1.52+10.612-0.282-6.165-1.513-1.34-1.33-1.335-5.335-4.585+1.448+3.906-0.29-1.448-0.14</f>
        <v>5.9140000000000006</v>
      </c>
      <c r="F702" s="25">
        <v>147500</v>
      </c>
    </row>
    <row r="703" spans="1:6">
      <c r="A703"/>
      <c r="B703" s="30" t="s">
        <v>234</v>
      </c>
      <c r="C703" s="30" t="s">
        <v>557</v>
      </c>
      <c r="D703" s="30" t="s">
        <v>233</v>
      </c>
      <c r="E703" s="53">
        <f>1.384+1.398+1.414+1.51+1.528+1.498+4.37-0.165-1.384-1.398-1.414-1.478-0.116-1.24-0.027-1.362-1.51-1.528-1.498+0.018+1.442+1.602+1.68-1.602-1.68-1.442+1.158+1.218-1.158+1.468+1.43+1.462+1.2+1.332+1.376+1.276+1.228+0.692+0.596-1.2-1.376-1.276-1.468-1.43-1.462-1.332-1.218-1.228-0.692-0.596+1.28+1.246+1.318+1.362+1.39+1.308+0.896-1.39-1.28-1.318-1.362-0.896-1.246-1.308+1.52+1.428+1.528+1.39+1.456+1.462+1.01+1.507-1.01-1.39-1.507-1.52+0.944+0.984+4.224-0.984-1.386-1.502-1.336-0.944-1.456-1.462-1.428-1.528</f>
        <v>3.1086244689504383E-15</v>
      </c>
      <c r="F703" s="25">
        <v>157500</v>
      </c>
    </row>
    <row r="704" spans="1:6">
      <c r="A704"/>
      <c r="B704" s="30">
        <v>20</v>
      </c>
      <c r="C704" s="30" t="s">
        <v>558</v>
      </c>
      <c r="D704" s="30" t="s">
        <v>233</v>
      </c>
      <c r="E704" s="53">
        <f>3.418+1.764-1.77+0.018+1.662+1.678-1.666+1.614+1.683+1.674+1.624-1.766+0.002-1.668-0.006-1.624-0.005-1.662-0.023-1.655+8.894-1.614-1.678-1.792-1.738+0.993+0.928+0.94+0.97-0.94-0.97-1.828-1.762-1.774-0.928-0.993+1.712+1.69+1.522+1.56+1.71-1.71-1.69-1.712-1.56+0.822+0.95+0.796-0.95+1.796-1.522+1.682+1.634-0.822-1.796-0.796-1.682+1.22-1.22-1.634+1.704+1.746+1.335+5.225+1.295-0.02-5.225-1.704+1.305+2.264-1.305-1.315-1.746-1.295-2.625+0.361+9.29+3.265+5.6+1.62-1.645-1.62-1.62-1.855-1.812-1.877+16.355-1.875-0.25-1.826</f>
        <v>21.75</v>
      </c>
      <c r="F704" s="25">
        <v>157500</v>
      </c>
    </row>
    <row r="705" spans="1:6">
      <c r="A705"/>
      <c r="B705" s="30" t="s">
        <v>234</v>
      </c>
      <c r="C705" s="30" t="s">
        <v>558</v>
      </c>
      <c r="D705" s="30" t="s">
        <v>233</v>
      </c>
      <c r="E705" s="53">
        <f>8.492+1.254-1.28+1.344+1.384+1.41-1.384-1.41-1.254-1.344-0.418-1.7-1.672-1.746-0.286-1.36+1.788+1.774+1.622+1.834+1.31+0.87+0.92+0.806+0.815+0.812-0.87-0.92-0.812-1.774-0.03-1.788-1.622-1.834+1.352+1.24+1.396+1.368-1.396-1.368-0.815-1.352-1.24-1.31-0.806+1.496+1.524+1.65+1.764+1.652-1.65-1.764-1.652+1.78+1.738+1.786+1.714-1.496-1.524-1.738-1.786-1.714+1.75+1.818+1.732+1.744+1.762+1.472+1.516+1.568+1.588+1.504+1.476+1.51+1.496+1.55+1.542+7.69-1.562-1.496</f>
        <v>30.440000000000005</v>
      </c>
      <c r="F705" s="25">
        <v>169300</v>
      </c>
    </row>
    <row r="706" spans="1:6">
      <c r="A706"/>
      <c r="B706" s="30">
        <v>20</v>
      </c>
      <c r="C706" s="30" t="s">
        <v>559</v>
      </c>
      <c r="D706" s="30" t="s">
        <v>233</v>
      </c>
      <c r="E706" s="53">
        <f>1.648+1.716+1.834+1.7+1.634+1.778-1.648-1.834-0.002-1.778-0.002-1.64-1.71+1.52+1.83+1.792+1.764-1.52-0.06-1.636+1.49+1.72+1.702+1.742-1.764-1.83-1.792-1.742-1.49-1.72-1.702+1.648+1.768+1.804-1.804+4.55+1.62-1.645-1.29-1.768-1.648-1.62-1.62+0.005+5.635+5.665+1.655+3.321-1.655-1.89-1.875-1.89-3.76-1.885-1.655-1.67+0.004+15.154-1.895-1.905-1.895+5.845-1.95-1.958+5.83-1.96+0.023-1.938-1.943-1.965+0.016-1.9-7.559+14.872-1.88-1.88-1.85</f>
        <v>9.2620000000000058</v>
      </c>
      <c r="F706" s="25">
        <v>147500</v>
      </c>
    </row>
    <row r="707" spans="1:6">
      <c r="A707"/>
      <c r="B707" s="30" t="s">
        <v>234</v>
      </c>
      <c r="C707" s="30" t="s">
        <v>559</v>
      </c>
      <c r="D707" s="30" t="s">
        <v>233</v>
      </c>
      <c r="E707" s="53">
        <f>16.286+1.604+1.486-1.7-1.712-1.778-1.72-1.6-1.61+0.002-1.49-1.72-3.336+0.378-1.604-0.106-1.604+0.224+1.736+1.744+1.752+1.702+1.778+1.654+1.746-1.702-1.736-1.744-1.752-1.778-1.654-1.746+1.718+1.75+1.774+1.73+1.348+1.712+1.758-1.348-1.73-1.774-1.75-1.712-1.718-1.758+1.798+1.674+1.614+1.612+1.742-1.798-1.614-1.742+1.806+1.656+1.744-1.806-1.656-1.744-1.612-1.674+1.746+6.276-1.7-1.786-1.792-1.746-0.998+5.4-1.848-3.552</f>
        <v>0</v>
      </c>
      <c r="F707" s="25">
        <v>174400</v>
      </c>
    </row>
    <row r="708" spans="1:6">
      <c r="A708"/>
      <c r="B708" s="30">
        <v>20</v>
      </c>
      <c r="C708" s="30" t="s">
        <v>560</v>
      </c>
      <c r="D708" s="30" t="s">
        <v>233</v>
      </c>
      <c r="E708" s="53">
        <f>11.368-1.802-1.688-1.79-1.815+0.011-1.678-1.832+0.012-0.786+1.965-1.965+1.992-1.992+1.778+1.872-1.778+1.524+1.59+1.59+1.57-1.524+1.586+1.585-1.573-1.586-1.585+0.003-1.57-1.872-1.57-0.04+2.05+2.004+2.022-2.05+1.615+1.59+1.605+1.605+1.61+1.62+1.59+1.46+1.595-2.022-2.004-1.59-1.605-1.615-0.005-1.605-1.595</f>
        <v>6.2749999999999995</v>
      </c>
      <c r="F708" s="25">
        <v>227500</v>
      </c>
    </row>
    <row r="709" spans="1:6">
      <c r="A709"/>
      <c r="B709" s="30" t="s">
        <v>234</v>
      </c>
      <c r="C709" s="30" t="s">
        <v>560</v>
      </c>
      <c r="D709" s="30" t="s">
        <v>233</v>
      </c>
      <c r="E709" s="53">
        <f>1.616+1.708+1.672+1.706+1.692-1.616-1.678-1.706-1.692-0.014-0.034-1.672+0.018+1.98+1.928-1.982+1.928+1.982+1.962+0.054-1.982-1.962-1.98-1.928+1.84+1.67+1.826+1.57-1.84-1.67-1.57-1.826+1.698+1.65+1.722+1.726+1.726+1.72+1.738+1.695+1.665+1.72+1.774+1.696-1.722-1.726-12.008+7.312+3.682-1.82-1.79-1.726-3.682-7.05+12.756-1.82</f>
        <v>10.936000000000003</v>
      </c>
      <c r="F709" s="25">
        <v>233100</v>
      </c>
    </row>
    <row r="710" spans="1:6">
      <c r="A710"/>
      <c r="B710" s="30">
        <v>20</v>
      </c>
      <c r="C710" s="30" t="s">
        <v>561</v>
      </c>
      <c r="D710" s="30" t="s">
        <v>233</v>
      </c>
      <c r="E710" s="53">
        <f>2.114+1.602-1.602-2.114+10.65-2.15-2.12-2.11-2.115-2.145-0.01+10.268</f>
        <v>10.268000000000001</v>
      </c>
      <c r="F710" s="25">
        <v>200700</v>
      </c>
    </row>
    <row r="711" spans="1:6">
      <c r="A711"/>
      <c r="B711" s="30">
        <v>20</v>
      </c>
      <c r="C711" s="30" t="s">
        <v>562</v>
      </c>
      <c r="D711" s="30" t="s">
        <v>233</v>
      </c>
      <c r="E711" s="53">
        <f>5.108-2.14+5.774-2.105-0.001-1.934+2.02+2.118+2.064-2.02-2.118-2.064+5.986-0.89+0.028-1.985-1.98-1.987-1.853-0.085-1.936+1.625+1.64-1.625-1.64+1.63-1.63+1.695+1.6+1.71+1.7+1.695+1.69+2.036+2.046+1.806-1.7-1.7+0.1-2.036-2.046-1.695-1.806-1.71-1.69-1.695+1.644+1.696+1.714+1.68+1.678+1.682+1.724+1.632+1.652-1.644+2.13+8.52-10.65-1.652-1.696-1.714-1.682-1.68-1.678-1.632-1.724+14.571-2.066-2.087-2.09-2.095-2.085-2.068-2.077-0.002-0.001+11.394-2.27</f>
        <v>9.1239999999999988</v>
      </c>
      <c r="F711" s="25">
        <v>202500</v>
      </c>
    </row>
    <row r="712" spans="1:6">
      <c r="A712"/>
      <c r="B712" s="30" t="s">
        <v>234</v>
      </c>
      <c r="C712" s="30" t="s">
        <v>562</v>
      </c>
      <c r="D712" s="30" t="s">
        <v>233</v>
      </c>
      <c r="E712" s="53">
        <f>4.019-1.942-2.077+2.108+2.1+2.12-2.108-2.1-2.12+2.006+1.894+1.858-1.858-1.894-2.006+2.124+1.948+2.108-1.948-2.124-2.108+1.96+1.936+1.936-1.96-1.936-1.936+2.208+2.118+1.89+1.952+2.068-2.118-1.89-1.952-2.208-2.068+10.99-1.848-1.868-1.84</f>
        <v>5.4339999999999975</v>
      </c>
      <c r="F712" s="25">
        <v>233100</v>
      </c>
    </row>
    <row r="713" spans="1:6">
      <c r="A713"/>
      <c r="B713" s="30">
        <v>20</v>
      </c>
      <c r="C713" s="30" t="s">
        <v>563</v>
      </c>
      <c r="D713" s="30" t="s">
        <v>233</v>
      </c>
      <c r="E713" s="53">
        <f>8.61-1.802-2.335-2.485+2.192+1.952+2.058+1.938-2+0.012+2.42+2.145-2.192-0.005+1.746+1.87+1.72+1.87-1.746-1.87-1.72-2.058-0.758-1.952-2.42-1.938-1.387+0.005-1.87+2.022+1.954-1.954-2.022+2.43+2.35+5.99+1.99-1.99+1.985+1.99-2.43-2.41+0.06+2.12-2.12-1.985-1.995+2.096+2.074+2.08-0.412-2.074-1.99+15.67-3.995-1.69-2.08+0.006-0.526-0.085-1.97+12.96-1.962-2.165-1.965-2.165-2.155-2.17-9.195-4.305+0.033+15.66-1.97-1.975</f>
        <v>11.714999999999995</v>
      </c>
      <c r="F713" s="25">
        <v>227500</v>
      </c>
    </row>
    <row r="714" spans="1:6">
      <c r="A714"/>
      <c r="B714" s="30" t="s">
        <v>234</v>
      </c>
      <c r="C714" s="30" t="s">
        <v>563</v>
      </c>
      <c r="D714" s="30" t="s">
        <v>233</v>
      </c>
      <c r="E714" s="53">
        <f>2.052+2.106+2.104-2.052-2.106-2.104+1.824+1.88+1.916+1.982+1.424-1.982-1.916-1.88-1.824-1.424+1.994+2.024+1.962+1.988+1.962+2.038-2.038-1.962-1.994-2.024-1.988-1.962+2.012+1.962+2.03+1.992+1.972+1.96-2.012-9.916+2.111-2.111+8.308</f>
        <v>8.3079999999999998</v>
      </c>
      <c r="F714" s="25">
        <v>246000</v>
      </c>
    </row>
    <row r="715" spans="1:6">
      <c r="A715"/>
      <c r="B715" s="30">
        <v>20</v>
      </c>
      <c r="C715" s="30" t="s">
        <v>564</v>
      </c>
      <c r="D715" s="30" t="s">
        <v>233</v>
      </c>
      <c r="E715" s="53">
        <f>6.144-2.025-2.045+0.014-2.088+2.2+2.124+2.194+1.956+2.008+1.976+1.934+2.222-2.222-1.956-1.976-2.2-2.008-2.096-1.934-0.096-0.002-2.124+2.465+2.465+2.475+2.47+2.006+2.148+2.032-2.475-2.006-2.148-2.032+4.73+7.035-2.465-0.01-0.685-2.47-4.73-7.035-1.775+0.005+6.875-2.29+13.699-2.32</f>
        <v>15.963999999999999</v>
      </c>
      <c r="F715" s="25">
        <v>202500</v>
      </c>
    </row>
    <row r="716" spans="1:6">
      <c r="A716"/>
      <c r="B716" s="30" t="s">
        <v>234</v>
      </c>
      <c r="C716" s="30" t="s">
        <v>564</v>
      </c>
      <c r="D716" s="30" t="s">
        <v>233</v>
      </c>
      <c r="E716" s="53">
        <f>2.13+2.024+2.098+2.128-2.13-2.098-2.128-2.024+1.854+1.892+2.178+2.06+2.024-2.024+2.004+1.988+1.992+1.83+1.916+2.016-1.916-2.016-1.992-1.83-1.854-1.892-2.178-2.06-1.988+1.888+1.73+1.812+2.088+2.046-1.73-9.838</f>
        <v>0</v>
      </c>
      <c r="F716" s="25">
        <v>234400</v>
      </c>
    </row>
    <row r="717" spans="1:6">
      <c r="A717"/>
      <c r="B717" s="30">
        <v>20</v>
      </c>
      <c r="C717" s="30" t="s">
        <v>565</v>
      </c>
      <c r="D717" s="30" t="s">
        <v>233</v>
      </c>
      <c r="E717" s="53">
        <f>4.902+4.28+2.34-2.34-2.115-2.47+2.08+2.044+2.074-2.074+7.64+2.514-2.08-2.044-2.48-2.432-2.475-2.165-2.514-2.475-0.21+2.48+2.475-2.48-2.475+6.892+2.496+1.98-2.496-1.98-2.5-1.978-2.414+2.415+2.415+2.405+2.39+2.27+2.295+2.405+2.415-2.415-2.415-2.405-2.27-2.295-2.405-2.39+2.175-2.415-2.175+14.412-2.41-2.42+7.412+7.41-2.47-2.47-2.47-2.47-2.41-2.471-7.209+0.037-2.471+16.79-2.405-7.195+11.406-2.272-2.295-2.275-2.305-4.805-2.446-2.259+0.061+14.57+14.485-4.86-2.44-2.45-2.42-2.43-2.415-2.435-4.79-0.021-0.039-2.42-2.27-0.14+0.075+16.884</f>
        <v>16.884000000000015</v>
      </c>
      <c r="F717" s="25">
        <v>227500</v>
      </c>
    </row>
    <row r="718" spans="1:6">
      <c r="A718"/>
      <c r="B718" s="30" t="s">
        <v>234</v>
      </c>
      <c r="C718" s="30" t="s">
        <v>565</v>
      </c>
      <c r="D718" s="30" t="s">
        <v>233</v>
      </c>
      <c r="E718" s="53">
        <f>1.342+1.49-1.342-1.49+1.994+1.978-1.978-1.994+1.914+1.892+1.806-1.892-1.806+1.884+2.112+2.132-1.914-1.884-2.112-2.132+1.952+3.47+5.968+3.47-5.422-2.04-1.566-2.04-1.952-1.904+0.064+1.965+1.96+2.05</f>
        <v>5.9750000000000023</v>
      </c>
      <c r="F718" s="25">
        <v>246000</v>
      </c>
    </row>
    <row r="719" spans="1:6">
      <c r="A719"/>
      <c r="B719" s="30">
        <v>20</v>
      </c>
      <c r="C719" s="30" t="s">
        <v>808</v>
      </c>
      <c r="D719" s="30" t="s">
        <v>233</v>
      </c>
      <c r="E719" s="53">
        <f>2.246+4.794-2.39-0.946-1.3-2.395-0.009+9.562+7.026-2.364-2.39</f>
        <v>11.833999999999996</v>
      </c>
      <c r="F719" s="25">
        <v>200700</v>
      </c>
    </row>
    <row r="720" spans="1:6">
      <c r="A720"/>
      <c r="B720" s="30">
        <v>20</v>
      </c>
      <c r="C720" s="30" t="s">
        <v>999</v>
      </c>
      <c r="D720" s="30" t="s">
        <v>233</v>
      </c>
      <c r="E720" s="53">
        <f>2.38-2.38+11.28-4.551-2.25</f>
        <v>4.4789999999999992</v>
      </c>
      <c r="F720" s="25">
        <v>200700</v>
      </c>
    </row>
    <row r="721" spans="1:6">
      <c r="A721"/>
      <c r="B721" s="30">
        <v>20</v>
      </c>
      <c r="C721" s="30" t="s">
        <v>566</v>
      </c>
      <c r="D721" s="30" t="s">
        <v>233</v>
      </c>
      <c r="E721" s="53">
        <f>10.356+1.922-0.56-1.922-9.8+0.004+10.096+14.764-0.545-3.215-0.546-1.086-3.085-1.075-1.08-1.093-0.538+0.012-0.54-2.551-0.43-0.555-1.07-0.85-0.425-1.64-0.425-1.07-0.545-1.515-0.555+11.252-0.55+0.112-0.54-0.55-0.545-9.66+0.043+3.244+3.28+3.278+3.283+3.303+3.308+1.341-2.168-1.076-3.28-3.278-3.283-3.303-1.351-1.957-1.321-0.02+2.25+3.145-1.345+2.27+0.895+2.325-1.36+2.87-0.348-0.562+2.795+0.92-0.895+2.285-1.83-0.455-0.45-1.145-0.9-2.245-1.155-2.775-0.455+2.606+2.621+2.596+2.619+2.611+2.65+2.607+2.557-0.53-0.516-0.515-2.621-0.533-0.47-2.05-1.083-0.512-0.546-2.619+1.745-1.125-1.054-1.07-0.196-5.208-2.06+0.016-0.474-1.606+0.07+10.511-0.532-0.53-0.532-0.532-1.578-1.055+10.038-1.59-3.139-5.784+0.032</f>
        <v>7.0540000000000047</v>
      </c>
      <c r="F721" s="25">
        <v>142500</v>
      </c>
    </row>
    <row r="722" spans="1:6">
      <c r="A722"/>
      <c r="B722" s="30" t="s">
        <v>234</v>
      </c>
      <c r="C722" s="30" t="s">
        <v>566</v>
      </c>
      <c r="D722" s="30" t="s">
        <v>233</v>
      </c>
      <c r="E722" s="53">
        <f>3.299+3.293+0.552+3.326-2.201-3.326-2.753-1.098-0.54-0.552+22.375-2.2-16.362-0.531+11.978-0.42-2.16-1.09-10.487+2.152+2.208+3.255-1.115-2.152-2.208-3.255+0.012+3.206+1.554-1.134-3.206+1.617+3.196-1.645+16.608-3.234-0.537-0.532-0.55-1.605-1.074-0.54-1.583-1.617-0.018-3.192-1.645+0.065-0.51-3.253+0.049-0.524+0.104+9.986+3.245+0.56+3.27+3.163+3.245+3.241+3.246-0.56-2.696-3.245-3.246-1.56+23.344-11.256-0.418-2.982-4.658-1.092-1.05-0.545-1.008-1.06-3.747-5.494-0.68-3.27-1.053-0.535-2.71-0.546+0.111+20.7-1.05-1.61-10.657+20.825-2.13-1.075-2.105-0.52-0.535-0.545-0.545-1.614-1.1+0.097-1.615-16.521+8.24+2.709-0.535-3.13-3.17+20.845-12.14-2.134-8.73+0.025-0.04-0.493-0.4-0.51-0.536-0.022+0.021</f>
        <v>5.4435622676152207E-15</v>
      </c>
      <c r="F722" s="25">
        <v>144500</v>
      </c>
    </row>
    <row r="723" spans="1:6">
      <c r="A723"/>
      <c r="B723" s="30">
        <v>20</v>
      </c>
      <c r="C723" s="30" t="s">
        <v>567</v>
      </c>
      <c r="D723" s="30" t="s">
        <v>233</v>
      </c>
      <c r="E723" s="53">
        <f>49.882-0.955-0.615+0.946-0.621-0.575-1.24-3.606-3.591-3.301-0.47-0.57-1.22-0.486+3.045+3.081+3.075-0.57-0.615-0.43-0.465-2.615-0.065-3.634-3.638-0.522-0.605-0.465+20.838-1.825-1.24-1.236-0.56-0.62-0.39-0.47-0.56-12.145-0.325+0.09-4.925-3.015-1.66-0.469-0.521+0.009+0.017-0.625+1.705-1.235-2.495-1.238-1.83-1.205-1.225-3.68-2.487-0.555-3.038+9.458-0.605-3.403-5.45-0.62-1.085+41.057-6.806-1.22-1.24-2.456-0.61</f>
        <v>29.259999999999994</v>
      </c>
      <c r="F723" s="25">
        <v>142500</v>
      </c>
    </row>
    <row r="724" spans="1:6">
      <c r="A724"/>
      <c r="B724" s="30" t="s">
        <v>234</v>
      </c>
      <c r="C724" s="30" t="s">
        <v>567</v>
      </c>
      <c r="D724" s="30" t="s">
        <v>233</v>
      </c>
      <c r="E724" s="53">
        <f>7.937-2.764-0.606-1.124-3.05-0.262+0.055+21.43-1.85-1.855+0.018-3.617-1.795-1.131-0.62-1.2-0.186-3.43-1.2+1.802+0.519+0.539+0.528+1.496+0.635+1.2+3.686+3.073+3.053+3.717-1.802-0.635-1.2-13.529-1.05-0.519-0.539-0.487-0.015-1.18-0.625-0.58-1.768-0.007-0.638-0.007+0.07-0.446-0.169+0.128+0.495-0.495+1.9+14.09-0.64-0.602-0.618-0.61-1.878-0.64-4.288-0.64-0.63-0.636+0.01-1.81-0.624-1.882-0.52+0.018+0.6+0.576+0.586+0.606-0.6-0.606-0.576-0.586+0.576+0.6+0.586+0.606-0.586-0.606+10.308-0.633-1.936-1.966+3.031+3.01+3.013+3.026+3.014+0.62+0.604+0.609+3.054+0.602-0.608-0.61-1.224-1.224-1.818-1.826-3.026-0.596-0.615-1.815-0.605-0.622-0.61-10.855-0.52-0.056-0.359+0.057+2.223-0.535-0.58-0.508-0.6-0.565-0.097+0.062+19.861-19.861+4.323-0.62-3.703+9.843-7.528+19.903-2.315-11.228-0.604+10.217-1.919-6.152-3.872-1.9-2.545</f>
        <v>1.8999999999999844</v>
      </c>
      <c r="F724" s="25">
        <v>144500</v>
      </c>
    </row>
    <row r="725" spans="1:6">
      <c r="A725"/>
      <c r="B725" s="30">
        <v>20</v>
      </c>
      <c r="C725" s="30" t="s">
        <v>568</v>
      </c>
      <c r="D725" s="30" t="s">
        <v>233</v>
      </c>
      <c r="E725" s="53">
        <f>7.812-4.015-0.64-1.81-0.54+0.018+0.58+0.588+0.61+0.622+0.6+1.754+0.61+0.704-0.73-0.61-1.754-0.6+0.6+0.63+2.511-0.61-0.588-0.622-0.028-0.6-0.63-0.175+0.08+8.486-0.63-0.623-2.383-3.77-0.594-1.881-0.75-1.18+0.064+0.046+3.978+4.269+2.078-2.835+0.58-0.725-0.58+0.028+1.092+1.282-0.715+0.006-3.978-1.375-0.703-1.282-0.022-1.103-0.58-0.464+0.464+0.033+5.2+4.41+0.74+1.62-0.812-5.2-1.48-0.74+10.51-0.72-0.697-2.107-2.8-1.47-0.698-0.74</f>
        <v>5.0160000000000036</v>
      </c>
      <c r="F725" s="25">
        <v>142500</v>
      </c>
    </row>
    <row r="726" spans="1:6">
      <c r="A726"/>
      <c r="B726" s="30" t="s">
        <v>234</v>
      </c>
      <c r="C726" s="30" t="s">
        <v>568</v>
      </c>
      <c r="D726" s="30" t="s">
        <v>233</v>
      </c>
      <c r="E726" s="53">
        <f>5.278+0.545-2.79+2.79-0.665-0.545+4.213-0.59-0.005-0.027-2.245-0.575-0.027-0.553-0.702+0.027+2.245-1.683-0.715+0.47-2.81-0.598+0.014-0.58+0.018-0.47-0.02</f>
        <v>7.9450335199737765E-16</v>
      </c>
      <c r="F726" s="25">
        <v>147500</v>
      </c>
    </row>
    <row r="727" spans="1:6">
      <c r="A727"/>
      <c r="B727" s="30">
        <v>20</v>
      </c>
      <c r="C727" s="30" t="s">
        <v>569</v>
      </c>
      <c r="D727" s="30" t="s">
        <v>233</v>
      </c>
      <c r="E727" s="53">
        <f>9.129-4.574-0.76-1.51+3.865-2.285+20.395+0.815+0.81+1.6+1.635+1.62-1.525+0.9+2.44+0.81+4.645+1.62+3.23+20.35+20.385-1.62-1.62-0.815+4.664+4.639+4.62+4.617+2.303-1.574-0.805-3.104-0.78-0.795-0.81-0.78-1.625-6.575-1.585-0.78-2.35-0.79-0.775-3.845-3.85-0.795-0.775-0.8-2.303-2.35-0.79-2.385-0.815-0.767-4.711-0.766-0.79-0.003-0.003-2.314-6.27+0.026-19.586-23.409+0.05+0.795-0.004+8.332-5.521+2.178-2.178+8.24-0.7-2.664-0.7-2.13-0.712</f>
        <v>4.9399999999999942</v>
      </c>
      <c r="F727" s="25">
        <v>142500</v>
      </c>
    </row>
    <row r="728" spans="1:6">
      <c r="A728"/>
      <c r="B728" s="30" t="s">
        <v>234</v>
      </c>
      <c r="C728" s="30" t="s">
        <v>569</v>
      </c>
      <c r="D728" s="30" t="s">
        <v>233</v>
      </c>
      <c r="E728" s="53">
        <f>7.413-1.38-0.744-3.72-1.569+1.569+5.426-0.77-0.804+0.005+0.66-0.688-0.666-0.674-0.682-0.66-0.71-0.672-0.67+4.556+4.567+0.763-0.003+0.765+4.54+4.561-0.745-0.763-0.765-0.77-0.765-0.766-0.76-2.285-1.53-0.755-0.752-0.013+3.575-0.765-3.795-4.571-0.664+0.01+0.041-0.72-0.69-0.74-1.55+0.125+4.704+4.579+4.604+4.714+1.59-3.895-4.579-0.79-0.8+11.879-1.55+3.945+1.594+3.953-0.795-0.805-0.792-1.485-1.594-0.8+1.55-3.054-0.036-1.59-0.79-0.01-3.975-0.205-0.775-0.79-0.8-0.795-0.8-0.795-2.39-0.795-2.375-0.795-2.092-2.365+11.09-2.23-0.745-0.685-0.054-0.75+8.836+0.648</f>
        <v>16.109999999999985</v>
      </c>
      <c r="F728" s="25">
        <v>144500</v>
      </c>
    </row>
    <row r="729" spans="1:6">
      <c r="A729"/>
      <c r="B729" s="30">
        <v>20</v>
      </c>
      <c r="C729" s="30" t="s">
        <v>190</v>
      </c>
      <c r="D729" s="30" t="s">
        <v>233</v>
      </c>
      <c r="E729" s="53">
        <f>11.059-4.34-0.773-1.718-0.866+0.012-2.524+0.902+9.393-0.835-3.455+4.644+4.588+0.93-4.644-1.876-1.81-0.93-0.912+0.01-0.91-0.76-0.875-0.09-1.704-0.872-0.848-0.054-0.808+0.066+1.81+5.3-0.92-0.91+0.02+4.631+3.669+1.679+4.605+4.588+1.73-4.52-0.925-1.73-1.845-0.915-0.939-1.679-3.706-2.75-0.93+4.39+3.505-3.666+3.52+3.5-0.908-0.001+4.607+4.649+4.618+4.664+1.87-4.607-4.649-4.618-4.664-1.87-3.5-3.52-3.505-4.39-0.908-0.78+2.635-0.91-1.81+20.639-7.169-1.76-0.905-9.867-0.875+0.022+20.567-0.473-4.456-0.894-0.886-0.896-4.491-3.554+0.915+4.605+3.648+0.942-2.756-0.916-3.62+0.018-2.795</f>
        <v>4.9579999999999895</v>
      </c>
      <c r="F729" s="25">
        <v>137500</v>
      </c>
    </row>
    <row r="730" spans="1:6">
      <c r="A730"/>
      <c r="B730" s="30" t="s">
        <v>234</v>
      </c>
      <c r="C730" s="30" t="s">
        <v>190</v>
      </c>
      <c r="D730" s="30" t="s">
        <v>233</v>
      </c>
      <c r="E730" s="53">
        <f>4.23-0.837-0.86+3.532+0.836+0.768-0.855-1.69+0.012+6.194-1.782-0.894-0.866-0.88-0.906-0.836-0.768-0.91-1.734-0.892-0.862+0.954+0.944+0.945+0.941+5.691+5.69+5.715-5.715-0.954-0.944-0.945-0.941-5.691-5.69+14.992-0.917+20.451-0.906-6.528-0.946-6.518-0.94-0.935-0.95-12.058-0.915-0.91-1.872+20.62-0.955-0.093-0.89-0.89-2.653-0.905-0.895-0.905-12.597+8.766-0.876-0.882+2.724+2.767-0.882-0.928-0.928-0.907-0.9-0.87-0.875</f>
        <v>7.0940000000000092</v>
      </c>
      <c r="F730" s="25">
        <v>147500</v>
      </c>
    </row>
    <row r="731" spans="1:6">
      <c r="A731"/>
      <c r="B731" s="30">
        <v>20</v>
      </c>
      <c r="C731" s="30" t="s">
        <v>1104</v>
      </c>
      <c r="D731" s="32" t="s">
        <v>930</v>
      </c>
      <c r="E731" s="53">
        <f>18.655-1.11-5.38-3.37-3.37</f>
        <v>5.4250000000000016</v>
      </c>
      <c r="F731" s="102">
        <v>135000</v>
      </c>
    </row>
    <row r="732" spans="1:6">
      <c r="A732"/>
      <c r="B732" s="30">
        <v>20</v>
      </c>
      <c r="C732" s="30" t="s">
        <v>161</v>
      </c>
      <c r="D732" s="30" t="s">
        <v>233</v>
      </c>
      <c r="E732" s="53">
        <f>4.846-0.97-0.984+1.044+1.012+1.05+1.042+1.028+8.216-1.04-1.044-1.05-2.022-1.024-2.04-2.07-0.98-1.141-1.912-1.012-0.002-1.028+0.081+5.592-3.315+3.33+5.38+2.15+1.085+20.533+3.37-2.22+2.155+1.008+3.37-21.905+27+12-2.16+18.655-18.655-7.46+0.002</f>
        <v>49.914999999999992</v>
      </c>
      <c r="F732" s="25">
        <v>147500</v>
      </c>
    </row>
    <row r="733" spans="1:6">
      <c r="A733"/>
      <c r="B733" s="30" t="s">
        <v>234</v>
      </c>
      <c r="C733" s="30" t="s">
        <v>161</v>
      </c>
      <c r="D733" s="30" t="s">
        <v>233</v>
      </c>
      <c r="E733" s="53">
        <f>4.392+1.108+4.37-2.22+5.08+0.99-1.108-2.172-4.37-0.99-0.988-1.004-1.028-1.072-0.988+0.92+0.88+9.886-0.942-0.888-6.266-0.92-0.88-1.79+2.087-2.087+4.179+4.224+1.076-3.19-1.034-1.097+0.021-1.055-1.03-1.05-1.065+0.021+6.313+6.438+6.354+0.805-3.09-2.165-1.08-1.08-1.058-3.254-0.985-1.075-2.148-0.039-1.036-0.805-1.09-1.08+0.075+4.171+4.04+4.176+4.18-1.015+1.016+1.022+0.974+0.986+1.02+1.016+1.032+0.838+0.768+0.98-2.12-1.05-1.02-1.055-1.016-0.838-0.768-0.11-1.016-0.986-10.294-1.022-3.94+0.031+7.07+1.09+0.984+0.976-1.09-1.066-0.962-1.018+4.281+1.061-1.068-1.061-1.076</f>
        <v>8.1209999999999969</v>
      </c>
      <c r="F733" s="25">
        <v>147500</v>
      </c>
    </row>
    <row r="734" spans="1:6">
      <c r="A734"/>
      <c r="B734" s="28">
        <v>10</v>
      </c>
      <c r="C734" s="30" t="s">
        <v>570</v>
      </c>
      <c r="D734" s="30" t="s">
        <v>233</v>
      </c>
      <c r="E734" s="53">
        <f>3.094</f>
        <v>3.0939999999999999</v>
      </c>
      <c r="F734" s="25">
        <v>145000</v>
      </c>
    </row>
    <row r="735" spans="1:6">
      <c r="A735"/>
      <c r="B735" s="30">
        <v>20</v>
      </c>
      <c r="C735" s="30" t="s">
        <v>570</v>
      </c>
      <c r="D735" s="30" t="s">
        <v>233</v>
      </c>
      <c r="E735" s="53">
        <f>15.899-0.885-1.828-4.064+0.008-0.98+1.213-1.01-0.002+0.852+1.012-1.05-1.213-2.016-1-1.968-1.104+0.998+1.05+1.058+1.068+1.072+1.04+1.092+1.074+1.048+1.048+1.064-1.048-1.064-1.092-1.074-1.05-1.058-1.068-0.998-1.072-1.048-1.04-0.852-1.028+0.016+3.76+6.35+4.965-3.76-4.965-2.565-1.265-1.275-1.245+13.76-4.935-3.75-2.505-1.245+10.52-1.24+21.088-1.165-17.32-1.26-3.463-0.085-1.24-1.25-1.18-0.018</f>
        <v>4.7119999999999989</v>
      </c>
      <c r="F735" s="25">
        <v>142500</v>
      </c>
    </row>
    <row r="736" spans="1:6">
      <c r="A736"/>
      <c r="B736" s="30" t="s">
        <v>234</v>
      </c>
      <c r="C736" s="30" t="s">
        <v>570</v>
      </c>
      <c r="D736" s="30" t="s">
        <v>233</v>
      </c>
      <c r="E736" s="53">
        <f>12.726-0.904-0.008+2.222+2.191-0.905+0.001-2.16-1.149+1.112+1.072+1.084+1.018+1.004+1.058+1.054-1.112-1.072-1.054-1.018-1.905+1+0.878+0.972+1.006+1.026+1.006+1.032+0.988-2.046-0.972-1.006-1.026-1.006-2.012-9.189+9.189-2.023-1.942-1.004-1-0.062-1.042-1.084-1.058-0.878-1.032-0.988-0.995+0.013+10.807-2.18-0.01-6.347-2.275+0.005+4.821+4.804+4.803+4.827-4.821+0.99+0.968+1.024+0.99+0.976+1.032+1.02+1.01+1.034+1.026-1.032-1.02-1.026-1.23-1.034-0.99-2.41-1.01-1.163-0.968-1.024-1.21-4.804-1.205-0.99-0.976-0.001-2.388-0.023+10.581+4.615+1.178-3.425-1.19-1.165-1.036-5.445-4.137-0.013+0.037</f>
        <v>1.7555401576885288E-15</v>
      </c>
      <c r="F736" s="25">
        <v>157500</v>
      </c>
    </row>
    <row r="737" spans="1:6">
      <c r="A737"/>
      <c r="B737" s="30">
        <v>20</v>
      </c>
      <c r="C737" s="30" t="s">
        <v>571</v>
      </c>
      <c r="D737" s="30" t="s">
        <v>233</v>
      </c>
      <c r="E737" s="53">
        <f>3.995+1+2+1.045+0.005-2.02-2-0.015+2.005-1-1-1.975-0.045+0.01-2.005+4.16+6.935+4.145-2.77-1.375-1.38-6.935-1.405-1.375+1.026+1.14+1.028+1.042+1.096-1.042-1.096-1.028-1.026-1.14+2.74+2.74-1.37+6.838+4.102-2.74-1.38+0.01-4.105-2.733-4.102+13.536-5.38+9.69-2.825-1.415-5.465-1.326-1.365-1.315-2.674-0.061-0.061+10.114-1.38+0.041-1.27+1.27-1.27-1.27+10.705-5.06-1.34-1.34-1.375-3.98-2.514-2.716+0.046+9.098-2.066-2.03-0.976-0.986-0.998</f>
        <v>2.042000000000006</v>
      </c>
      <c r="F737" s="25">
        <v>147500</v>
      </c>
    </row>
    <row r="738" spans="1:6">
      <c r="A738"/>
      <c r="B738" s="30" t="s">
        <v>234</v>
      </c>
      <c r="C738" s="30" t="s">
        <v>571</v>
      </c>
      <c r="D738" s="30" t="s">
        <v>233</v>
      </c>
      <c r="E738" s="53">
        <f>12.64-0.997-0.919-0.964-0.919-0.888-0.86-1.005-1.016-1.009-1.011-0.98-1.022-1.05+1.004+1.034+1.032+0.972+1.028-1.034-1.032-1.028+1.046-1.004+1.06+1.098+1.045+0.994+1.07+1.784+0.982+0.998-1.046+0.806+1.042+0.868+0.834+1.032+1+1.012+1.028+1.028+1.06+0.974+1.012+1.964-0.868-0.834-1.032-1-1.012-1.07-1.028-1.028-1.06-1.012-1.964-0.974-0.972-1.06-1.098-1.045-0.994-0.982-0.998-0.864+1.016+0.97+1.042+0.98+0.93+0.974+1.018+1.024+0.942-1.024-0.942-1.042-0.806-1.042-0.98-1.016-0.93-1.018-0.974-0.92-0.97+16.846-0.988-3.948-2.06-0.968-1.054-1.032-0.974-0.956</f>
        <v>4.8659999999999926</v>
      </c>
      <c r="F738" s="25">
        <v>169300</v>
      </c>
    </row>
    <row r="739" spans="1:6">
      <c r="A739"/>
      <c r="B739" s="30">
        <v>20</v>
      </c>
      <c r="C739" s="30" t="s">
        <v>572</v>
      </c>
      <c r="D739" s="30" t="s">
        <v>233</v>
      </c>
      <c r="E739" s="53">
        <f>39.057-1.402-1.484-1.502-1.51-1.472-1.418-1.5-0.696+0.005-1.542-0.033-1.482-1.386-1.356-1.536-1.538-1.51-1.476+0.033-1.47-1.536-0.002-0.022-1.364-1.294-1.51-0.002+20.26-1.53-1.492-1.51-1.386-1.474+0.026-3.16-10.887-1.52-3.125-1.58+0.012-0.8+0.035+1.494+1.424+1.44+1.472+1.46+1.442-1.472-1.494-1.079+0.158-1.424-1.44-1.46+7.445+3.645+3.65-1.49+8.54+1.52+7.445+5.65-1.216-1.442+40-1.22-1.41-3.65-1.495-1.495-4.906-1.5-1.213-1.201-0.024-1.43-1.465-1.49-1.23-5.955-1.415-1.44+0.045-1.195+0.02-1.55-6.215-1.545-1.555-1.545-1.537-1.538-1.565</f>
        <v>24.469999999999992</v>
      </c>
      <c r="F739" s="25">
        <v>147500</v>
      </c>
    </row>
    <row r="740" spans="1:6">
      <c r="A740"/>
      <c r="B740" s="30" t="s">
        <v>234</v>
      </c>
      <c r="C740" s="30" t="s">
        <v>572</v>
      </c>
      <c r="D740" s="30" t="s">
        <v>233</v>
      </c>
      <c r="E740" s="53">
        <f>27.692-0.127-1.31+0.008-5.646-13.64-0.026-4.173-1.487-1.39+0.099+1.48+1.484+4.416+1.316-1.48-1.49-4.42-1.32+0.006+0.004+0.004+1.418+1.014+1.022+1.01+0.948+1.442+1.29+11.154-1.29-11.154-1.014-1.022-1.01-0.948+3.06+1.476+1.492+3.008+1.52+1.566+1.458+1.49+1.486-3.008+1.434+1.462+1.416+1.166+1.356+1.034+0.775-1.52-1.566-1.458-1.49-1.486+0.025-1.356-1.492+1.045-1.418-1.442-1.034-1.04-3.06-1.476-1.434-1.462-1.416-1.166-0.005-0.76-0.04+1.462+4.199+1.426+1.416+1.414+1.462+1.524+1.486+1.396+1.24+1.458+1.318+1.39+1.358+1.44+1.022+1.456+1.306-1.414-1.458-1.358-1.44-1.462-1.524-1.486-1.426-1.416-1.396-1.24-1.318-1.39-1.022-1.407-1.456-1.306-0.055-4.199-0.005-0.011+0.016+1.406+1.366+1.412+1.354+1.43+1.39+1.44+1.422+1.396+1.316+1.376+1.428+1.402+1.454+1.406+1.4+1.432+1.374+1.452-1.366-1.44-1.4-1.43-1.39-1.454-1.452-1.412-1.406-1.428-1.406-1.354-1.422</f>
        <v>8.2959999999999958</v>
      </c>
      <c r="F740" s="25">
        <v>157500</v>
      </c>
    </row>
    <row r="741" spans="1:6">
      <c r="A741"/>
      <c r="B741" s="30">
        <v>20</v>
      </c>
      <c r="C741" s="30" t="s">
        <v>573</v>
      </c>
      <c r="D741" s="30" t="s">
        <v>233</v>
      </c>
      <c r="E741" s="53">
        <f>11.411+1.429+1.429-2.921-1.438-1.407-1.383-1.392-1.476-0.01-1.392-1.429-1.441+0.02+1.478+1.6+1.63+1.634+1.648+1.584+1.632+1.348-1.632-1.648-1.348-1.63-1.584+1.27-1.34-0.138-1.6-1.634-1.38+0.11+5.14-5.14+5.038+5.038+5.044-5.044-1.68-1.68-5.038-1.678+11.104-1.592-6.345+10.78-1.53+9.98+1.675-1.545-1.601-1.593+1.593-1.555-3.057</f>
        <v>16.314000000000004</v>
      </c>
      <c r="F741" s="25">
        <v>147500</v>
      </c>
    </row>
    <row r="742" spans="1:6">
      <c r="A742"/>
      <c r="B742" s="30" t="s">
        <v>234</v>
      </c>
      <c r="C742" s="30" t="s">
        <v>573</v>
      </c>
      <c r="D742" s="30" t="s">
        <v>233</v>
      </c>
      <c r="E742" s="53">
        <f>4.816-4.816+2.724+1.452+1.398-2.724-1.452-1.398+1.36+1.464+1.456-1.464-1.456+1.428+1.332+1.298+1.492+1.396+1.48+1.504+1.472-1.492-1.396-1.48-1.504-1.472-1.36-1.428-1.332-1.298+1.428+1.298+1.332+1.36-1.36-1.428-1.332-1.298+1.482+1.408+1.494+1.462+1.426+1.452+1.45+1.128-1.482-1.494-1.462-1.508-1.426-1.452-1.45-1.128+0.1+1.448+1.53+1.436+1.44+1.216+1.448+1.4-1.53+1.212-1.44-1.448-1.4+1.384-1.212-1.216-1.448+2.339-0.278-1.214+1.422-1.436-1.125-1.422-1.106+5.792+1.328+1.498+1.486+1.328+1.486-1.498-1.486-1.438-1.486-0.01-1.486-1.328-1.41-1.388-0.06+2.858+4.776+1.625+6.466-1.608-2.766-4.776-1.625</f>
        <v>6.2780000000000005</v>
      </c>
      <c r="F742" s="25">
        <v>152500</v>
      </c>
    </row>
    <row r="743" spans="1:6">
      <c r="A743"/>
      <c r="B743" s="30">
        <v>20</v>
      </c>
      <c r="C743" s="30" t="s">
        <v>574</v>
      </c>
      <c r="D743" s="30" t="s">
        <v>233</v>
      </c>
      <c r="E743" s="53">
        <f>4.463+1.76-1.71-1.45-1.57-1.29-0.107-0.096+1.734+1.75+1.696-1.75-1.696+1.696+1.678-1.734-1.696-1.678+1.69-1.69+1.774+1.788+1.758+1.784-1.784-2.62-2.7+1.41+1.405+1.41+1.441-1.405-1.41-1.41-1.405-0.036+1.672-1.672+1.694+1.722+1.7+1.724+1.7-1.724-1.694-1.722-1.7+4.915+2.83+4.95-1.4-1.43+2.78-1.655-4.95-1.7+1.664+1.65+1.742+1.498+1.69-1.498-1.62-1.69-1.742-1.65-1.664+1.6-1.64-1.38+3.391+11.869-1.745-1.755-1.66+0.109-0.31+1.745-1.76-1.4-1.745-1.6-0.075-6.325-1.739+15.29-1.705-1.695-1.705-1.69-6.797+20-3.65+6.797-7.3-5.465-1.695-1.705-1.82-1.705-1.705-1.692+0.007+10.823+8.955-1.685-4.505-0.08+1.692-1.82-1.8-10.05-1.77+0.167+9.436</f>
        <v>11.127999999999998</v>
      </c>
      <c r="F743" s="25">
        <v>157500</v>
      </c>
    </row>
    <row r="744" spans="1:6">
      <c r="A744"/>
      <c r="B744" s="30" t="s">
        <v>234</v>
      </c>
      <c r="C744" s="30" t="s">
        <v>574</v>
      </c>
      <c r="D744" s="30" t="s">
        <v>233</v>
      </c>
      <c r="E744" s="53">
        <f>4.592-1.598-1.404+0.008+1.678+1.55+1.578+1.772+1.606-1.772-1.678-1.55-1.578-1.588-1.606-0.01+1.436+1.5+1.44+1.386+1.46-1.5-1.46+1.67+1.482-1.482-1.67+1.436+1.376+1.382-1.436-1.436-1.376-1.382-1.44-1.386+1.734+1.708+1.718+1.752+1.672-1.708-1.752-1.734-1.718-1.672+1.744+1.76+1.764+1.772-1.772-1.76-1.764-1.744+1.552+1.722+1.716+1.688+1.576+1.714+1.814-1.722-1.716-1.688-1.576-1.714-1.814-1.552+1.66+1.7+1.682+1.726+1.656-1.66-1.7+8.416-1.682-1.656-1.726-1.702+1.71+1.828+1.414+1.586+1.79+1.712-1.79+1.79-5.02-1.414-1.71-1.828-1.586+1.864+1.772+1.782+16.032-1.796-1.816-1.782-5.378-1.864-1.772</f>
        <v>12.238000000000001</v>
      </c>
      <c r="F744" s="25">
        <v>169300</v>
      </c>
    </row>
    <row r="745" spans="1:6">
      <c r="A745"/>
      <c r="B745" s="30">
        <v>20</v>
      </c>
      <c r="C745" s="30" t="s">
        <v>575</v>
      </c>
      <c r="D745" s="30" t="s">
        <v>233</v>
      </c>
      <c r="E745" s="53">
        <f>1.942-1.942+1.922+2.022+2.06+2.054+7.732-2.022-2.042-1.9+1.984+2.002+2.074-1.984-2.002-2.074-1.922-0.018-2.054-1.117-1.966-0.004-1.93+2.038+2.066+2.034+2.044+1.832+1.878+1.982+2.052+1.712+1.198+1.685-0.06-1.712-2.038-2.066-2.034-1.832-1.878-1.982-2.052-1.138-1.685-2.044-0.791-0.022-0.017+0.015+1.984+2.104+2.09-2.09-2.104-1.984+2.07-2.07+2.122-2.122+1.976-1.976+1.934+2.004+1.94+2-2.004-1.934-1.94-2+6.07-2.005+2.04+2.04-4.065-2.04-2.04+1.858-1.858+2.028+1.976-1.976-2.028+15.69-2.995-3.915-7.83-0.93-0.02+12.076-2.01-6.035+16.205-4.031-0.53-2.04-0.195-1.31+0.005-2.03-4.055-2.01+4.036+4.12+1.97-2.06-2.06-0.01-2.06-1.976-0.014-1.96-0.025+1.91+1.956+1.948-1.91-1.948-4.07+0.069-1.956+11.254</f>
        <v>11.254</v>
      </c>
      <c r="F745" s="25">
        <v>147500</v>
      </c>
    </row>
    <row r="746" spans="1:6">
      <c r="A746"/>
      <c r="B746" s="30" t="s">
        <v>234</v>
      </c>
      <c r="C746" s="30" t="s">
        <v>575</v>
      </c>
      <c r="D746" s="30" t="s">
        <v>233</v>
      </c>
      <c r="E746" s="53">
        <f>1.844+2.006+1.866-2.006+1.504+1.964+2.038-1.844-1.866-1.504-2.038-1.964+1.942+1.978+1.818-1.978-1.942-1.818+1.546+1.734+1.684+1.964+1.9+1.912-1.546+1.876-1.684-1.9-1.964-1.912-1.876-1.734+1.886+1.898+1.892+1.978+1.95-1.95-1.886-1.892-1.898-1.978+9.674+10.998+1.89-1.946+0.016-1.93-1.922-1.948-3.624-1.928+1.986+1.846+1.682+1.842-1.986</f>
        <v>14.649999999999995</v>
      </c>
      <c r="F746" s="25">
        <v>152500</v>
      </c>
    </row>
    <row r="747" spans="1:6">
      <c r="A747"/>
      <c r="B747" s="30">
        <v>20</v>
      </c>
      <c r="C747" s="30" t="s">
        <v>576</v>
      </c>
      <c r="D747" s="30" t="s">
        <v>233</v>
      </c>
      <c r="E747" s="53">
        <f>7.905-1.955-1.978+2.19+2.134+2.064+2.104+2.142+2.18-1.99-1.982-2.18-2.142-2.19-2.134-2.064-2.104+2.066+2+2.022+2.016+2.09+2.056-2.016-2-2.066-2.022-2.09-2.056+1.882+1.926+1.952-1.882-1.926-1.952+1.96+1.91+1.954+1.988-0.195-1.96-1.91+1.76+3.545-1.988+4.48+2.23+4.46-1.759-1.76-2.23-2.24-2.24-2.26+6.202+4.18-4.18-4.136-0.38-1.696+0.01-2.2-1.775+10.628-1.872-1.932-1.55+15.028+16.844-2.044-1.865-1.56-1.88-1.88-2.154-3.75</f>
        <v>23.783000000000005</v>
      </c>
      <c r="F747" s="25">
        <v>141500</v>
      </c>
    </row>
    <row r="748" spans="1:6">
      <c r="A748"/>
      <c r="B748" s="30" t="s">
        <v>234</v>
      </c>
      <c r="C748" s="30" t="s">
        <v>576</v>
      </c>
      <c r="D748" s="30" t="s">
        <v>233</v>
      </c>
      <c r="E748" s="53">
        <f>10.144-2.144-1.91-0.006-2.108-2.112+6.236-2.054-2.084-2.098-1.864+2.076+2.06+2.03-2.076-2.06-2.03+1.956+2.042+2.028+1.84+1.886+1.966+1.992-2.028-1.992-1.886-2.042+1.912+1.84+1.922+1.844+1.888-1.84-1.922-1.912-1.844-1.84+1.734+1.72+1.895-1.734-1.72-1.895-1.888-1.956-1.966+2.048+1.944+2.01+1.914+1.958+1.954-2.048-1.882-2.01-0.062-0.001-1.958-1.954+1.962+9.892+1.928-1.913-13.782+5.94</f>
        <v>5.9399999999999968</v>
      </c>
      <c r="F748" s="25">
        <v>146500</v>
      </c>
    </row>
    <row r="749" spans="1:6">
      <c r="A749"/>
      <c r="B749" s="30">
        <v>20</v>
      </c>
      <c r="C749" s="30" t="s">
        <v>577</v>
      </c>
      <c r="D749" s="30" t="s">
        <v>233</v>
      </c>
      <c r="E749" s="53">
        <f>12.935-0.932+3.246-3.966-2.008-3.246-2.11+4.905-3.238+6.114+2.046-2.046+1.996-1.996+2.072+0.362-2.072+2.11+2.145+2.14+2.155+2.184-1.655-1.615-2.184-2.145-2.14-0.011-2.185-1.615-2.144-2.096+0.02-1.63+0.007-1.635+2.028+1.982+1.966+2.062+2.06+1.952-1.982-2.06-0.014-0.88-2.062-0.788-1.952-1.966-1.24+2.136+2.048+2.168+2.24+2.255+4.49+2.255-2.136-2.168-2.255-2.255-2.048+2.058+1.992+2.038-4.49-0.886+0.012-2.058-2.038+10.816-2.165-4.355-2.24-2.16-2.165+0.029+11.532-2.32+11.206-2.335-1.992-0.072-1.885-1.88-2.203</f>
        <v>12.043000000000006</v>
      </c>
      <c r="F749" s="25">
        <v>226800</v>
      </c>
    </row>
    <row r="750" spans="1:6">
      <c r="A750"/>
      <c r="B750" s="30" t="s">
        <v>234</v>
      </c>
      <c r="C750" s="30" t="s">
        <v>577</v>
      </c>
      <c r="D750" s="30" t="s">
        <v>233</v>
      </c>
      <c r="E750" s="53">
        <f>5.818+12.404-2.046-1.93-2.016-2.086-2.154-4.01-1.83+0.022-2.172+1.974+1.964+1.934+1.942+1.936-0.4-1.942-1.934-1.936+7.878-1.574</f>
        <v>9.8420000000000005</v>
      </c>
      <c r="F750" s="25">
        <v>233100</v>
      </c>
    </row>
    <row r="751" spans="1:6">
      <c r="A751"/>
      <c r="B751" s="30">
        <v>20</v>
      </c>
      <c r="C751" s="30" t="s">
        <v>809</v>
      </c>
      <c r="D751" s="30" t="s">
        <v>233</v>
      </c>
      <c r="E751" s="53">
        <f>4.672-2.35-2.322+4.868+10.72-2.15-0.015-1.636-2.14-2.13-0.01-1.635-1.6+0.003-2.15-2.125+2.39+4.83+7.21-2.39-2.4+2.4-4.83-0.01-7.24+0.04</f>
        <v>-9.2287288921966137E-16</v>
      </c>
      <c r="F751" s="25">
        <v>200700</v>
      </c>
    </row>
    <row r="752" spans="1:6">
      <c r="A752"/>
      <c r="B752" s="30">
        <v>20</v>
      </c>
      <c r="C752" s="30" t="s">
        <v>578</v>
      </c>
      <c r="D752" s="30" t="s">
        <v>233</v>
      </c>
      <c r="E752" s="53">
        <f>6.35+0.83-1.87+2.053+2.155-2.106-2.155-2.374-2.053-0.32-0.515+0.005+1.974+2.042-1.974+1.65+1.912-2.042+2.018-1.65-2.018-1.912+2.048+2.096+2.102+2.042+2.064-2.102-2.048-2.096-2.042-2.064+1.345-1.344-0.001+4.81+4.835-2.41+2.37+2.125-2.4-2.425-2.44+0.03-2.37-2.16+0.035+1.55-1.55+11.45-2.29-2.3-6.864+0.004+15.87-4.56-4.565-2.285+16.76-2.28-2.3+0.12-2.405-2.39-4.805-7.16+11.986+11.026-11.986-4.505-6.521</f>
        <v>0</v>
      </c>
      <c r="F752" s="25">
        <v>226800</v>
      </c>
    </row>
    <row r="753" spans="1:6">
      <c r="A753"/>
      <c r="B753" s="30" t="s">
        <v>234</v>
      </c>
      <c r="C753" s="30" t="s">
        <v>578</v>
      </c>
      <c r="D753" s="30" t="s">
        <v>233</v>
      </c>
      <c r="E753" s="53">
        <f>2.104+8.438-2.06-2.09-2.176-2.112+1.95+2.034+1.982+2.026+1.774-2.104-1.982-2.026-0.052-1.982+1.822+1.868+1.84+1.806+1.962-1.822-1.868-1.84-0.14-1.666-1.962-1.95-1.774+2.07-2.07+2.068+2.052+2.034+2.068+2.002+2.106-2.068-2.106+2.106-2.106-2.052-2.068-2.034-2.002+1.986+1.922+1.888+1.668+1.698+1.932-1.932-1.922-1.888-1.668-1.698+1.888+2.1+1.962-1.986+1.938-2.1-1.962-1.888+2.006+1.9+2.046+1.95+1.964+1.964+2.078+1.776+2.06-1.95-1.964-1.938+2.014+2.106+2.128+2.166+1.97+2.018-2.078-2.018-2.014-1.97-2.06-2.166-2.006</f>
        <v>11.920000000000005</v>
      </c>
      <c r="F753" s="25">
        <v>209500</v>
      </c>
    </row>
    <row r="754" spans="1:6">
      <c r="A754"/>
      <c r="B754" s="30">
        <v>20</v>
      </c>
      <c r="C754" s="30" t="s">
        <v>579</v>
      </c>
      <c r="D754" s="30" t="s">
        <v>233</v>
      </c>
      <c r="E754" s="53">
        <f>4.304+2.174+2.2+2.232-4.374-4.304-2.232+9.865-2.46+0.039-7.442-0.002+1.948+2.044+1.952+1.864+1.978+2.04+2.036-2.044+2.05-2.05-2.04-2.036-1.978+1.975+1.975+1.975+1.992-1.975-1.975-1.975-1.948-1.952-1.864-1.992+2.42+2.39+2.395+2.445+2.395-2.42+2.405+2.395+2.41-2.39-2.395-2.445-2.395-2.405-2.395-2.41+2.144+2.056+2.078-2.056-2.144+19.178+2.38-2.078-2.42-11.87-2.395-2.425+21.19-7.03-2.37-2.28+11.431-2.47-2.37-2.397-2.47-4.35-2.16+0.019-2.375-2.374+0.006-0.028+12.05-0.04-2.415-2.395-4.83-2.42+0.04-2.41</f>
        <v>0</v>
      </c>
      <c r="F754" s="25">
        <v>204500</v>
      </c>
    </row>
    <row r="755" spans="1:6">
      <c r="A755"/>
      <c r="B755" s="30" t="s">
        <v>234</v>
      </c>
      <c r="C755" s="30" t="s">
        <v>579</v>
      </c>
      <c r="D755" s="30" t="s">
        <v>233</v>
      </c>
      <c r="E755" s="53">
        <f>2.082+1.73+2.04+1.894-2.082-2.04-1.894-1.73+1.868+1.97+2.02-2.02-1.868-1.97+1.616+1.866+1.978-1.978-1.866-1.616+1.98+2.068+2.114+2.08+2.13+1.74+1.808+1.916+2.018-2.13-1.916-1.98-2.018+1.928+1.87+1.95-2.068-1.928-1.74-2.114-2.08-1.808-1.87-1.95+14.146+1.772-1.876-2.174-1.746</f>
        <v>10.122000000000003</v>
      </c>
      <c r="F755" s="25">
        <v>233100</v>
      </c>
    </row>
    <row r="756" spans="1:6">
      <c r="A756"/>
      <c r="B756" s="30">
        <v>20</v>
      </c>
      <c r="C756" s="30" t="s">
        <v>580</v>
      </c>
      <c r="D756" s="30" t="s">
        <v>233</v>
      </c>
      <c r="E756" s="53">
        <f>4.51+2.218+2.182+2.192-4.505-2.182-2.192-2.218-0.005+9.682-2.425-7.257+2.04+2.048+2.066+2.132+2.112+4.968-2.112-2.5-2.132-2.048-2.066-2.468+2.092+2.128-2.04-2.092-2.128+1.992+2.014+1.996+2.002+2-2.014-1.992-1.996-2.002-2+2.445-2.445+1.985+1.995+5.93+1.97+2.46-2.46-1.985-1.98+9.662-2.41-2.425-2.42-1.995-3.95-2.412+0.005-1.97+4.602-2.31+11.935-2.415</f>
        <v>11.812000000000005</v>
      </c>
      <c r="F756" s="25">
        <v>227500</v>
      </c>
    </row>
    <row r="757" spans="1:6">
      <c r="A757"/>
      <c r="B757" s="30" t="s">
        <v>234</v>
      </c>
      <c r="C757" s="30" t="s">
        <v>580</v>
      </c>
      <c r="D757" s="30" t="s">
        <v>233</v>
      </c>
      <c r="E757" s="53">
        <f>2.088+1.98+1.91+1.93-1.98-1.91-2.088-1.93+1.558+1.664+1.614+1.512-1.664-1.614-1.512-1.558+2.07-2.07+1.42+2.086+1.69+1.558+0.96-1.558-0.96-1.42-2.086-1.69+2.162+2.144+2.122+2.158+2.076+2.07+2.136-2.136-2.076-2.07-2.122-2.144-2.162-0.275+1.874+1.926+7.134-1.874-1.926-1.872-1.83</f>
        <v>5.3150000000000031</v>
      </c>
      <c r="F757" s="25">
        <v>233100</v>
      </c>
    </row>
    <row r="758" spans="1:6">
      <c r="A758"/>
      <c r="B758" s="30">
        <v>20</v>
      </c>
      <c r="C758" s="30" t="s">
        <v>581</v>
      </c>
      <c r="D758" s="30" t="s">
        <v>233</v>
      </c>
      <c r="E758" s="53">
        <f>4.8+2.134+2.142+2.036-2.045-0.097-2.048+0.012-2.134-2.43+2.088+2.136-2.088+2.02-2.136-2.02+2.416+2.416+2.416+2.126+1.808+2.036+2.13-2.416-2.416-2.126-1.808-2.036-2.13+1.99+1.99+1.99+1.99-2.416+1.976+2.01-1.99-1.976-2.01-1.99-2.43+0.06-1.99-1.99+2.275+2.255-2.255-2.275+3.845+4.635+1.92+1.91+4.79-1.92-3.845-4.71+0.075-1.91+14.822-4.941-2.47-2.471-4.93-0.01+11.516-2.305-2.305-2.33-4.79-2.3-2.31+0.034+15.615-3.12</f>
        <v>12.494999999999997</v>
      </c>
      <c r="F758" s="25">
        <v>204500</v>
      </c>
    </row>
    <row r="759" spans="1:6">
      <c r="A759"/>
      <c r="B759" s="30" t="s">
        <v>234</v>
      </c>
      <c r="C759" s="30" t="s">
        <v>581</v>
      </c>
      <c r="D759" s="30" t="s">
        <v>233</v>
      </c>
      <c r="E759" s="53">
        <f>2.09+2.136+1.564+2.972-2.136-1.502-2.09-1.564+2.048+2+2.006-1.47+1.868+1.976-2.048+2.042+2.098-1.868+1.732-2.098-2-1.976+1.938+1.988+1.874+2.166+2.04+2.07-1.732-2.166+1.916+1.884+1.888+1.988+1.95+1.92-2.006-2.042-1.988-1.95-1.92-1.938-1.888</f>
        <v>11.771999999999997</v>
      </c>
      <c r="F759" s="25">
        <v>233100</v>
      </c>
    </row>
    <row r="760" spans="1:6">
      <c r="A760"/>
      <c r="B760" s="30">
        <v>20</v>
      </c>
      <c r="C760" s="30" t="s">
        <v>810</v>
      </c>
      <c r="D760" s="30" t="s">
        <v>233</v>
      </c>
      <c r="E760" s="53">
        <f>2.336+2.142+2.018+2.11-2.11-2.142+1.992+2.024+2.18+2.042-2.18-1.992-2.336-2.018-2.042-2.024+1.904+1.834+2.038+3.121+3.142+3.121-3.121-1.904-3.142-1.834-2.038+3.141+3.142-3.142-3.141-3.121+6.215-3.1</f>
        <v>3.1150000000000015</v>
      </c>
      <c r="F760" s="25">
        <v>227500</v>
      </c>
    </row>
    <row r="761" spans="1:6">
      <c r="A761"/>
      <c r="B761" s="30">
        <v>20</v>
      </c>
      <c r="C761" s="30" t="s">
        <v>882</v>
      </c>
      <c r="D761" s="30" t="s">
        <v>233</v>
      </c>
      <c r="E761" s="53">
        <f>2.98+2.988-2.97-2.998+12.272-3.068</f>
        <v>9.2040000000000006</v>
      </c>
      <c r="F761" s="25">
        <v>200700</v>
      </c>
    </row>
    <row r="762" spans="1:6">
      <c r="A762"/>
      <c r="B762" s="30">
        <v>20</v>
      </c>
      <c r="C762" s="30" t="s">
        <v>945</v>
      </c>
      <c r="D762" s="30" t="s">
        <v>233</v>
      </c>
      <c r="E762" s="53">
        <f>3.02-3.02+6.264</f>
        <v>6.2640000000000002</v>
      </c>
      <c r="F762" s="25">
        <v>200700</v>
      </c>
    </row>
    <row r="763" spans="1:6">
      <c r="A763"/>
      <c r="B763" s="30">
        <v>20</v>
      </c>
      <c r="C763" s="30" t="s">
        <v>582</v>
      </c>
      <c r="D763" s="30" t="s">
        <v>233</v>
      </c>
      <c r="E763" s="53">
        <f>1.677+6.414-3.69+3.996-0.545-0.712-0.71-0.562-0.648-0.087-0.036-1.14-0.566+14.92-0.545-0.625-0.585-0.045+0.014-0.525-0.596-0.465-0.605-1.164-1.22-2.358-0.606-0.624-1.19-1.834-2.955-0.584+0.001-0.64-0.62-0.58+0.026+0.014+5.648+0.624+0.646+0.57+0.642+0.642+0.652+0.6+0.64+0.604+0.596-0.598-0.646-0.652+2.09-0.596+2.085-1.12+1.375+1.395-0.624-0.642-0.004-1.146-0.64-1.666-0.6-0.045-0.57-0.57-0.548-1.385-0.525-0.068-0.619+0.015-1.375-1.395-0.705+10.266-0.685-0.685-0.695-0.685-0.685-0.695-0.68-1.37-4.785-1.39+0.004+10.203-2.025</f>
        <v>8.1779999999999831</v>
      </c>
      <c r="F763" s="25">
        <v>159000</v>
      </c>
    </row>
    <row r="764" spans="1:6">
      <c r="A764"/>
      <c r="B764" s="30">
        <v>20</v>
      </c>
      <c r="C764" s="30" t="s">
        <v>583</v>
      </c>
      <c r="D764" s="30" t="s">
        <v>233</v>
      </c>
      <c r="E764" s="53">
        <f>1.305-1.305+0.696+10.172-0.696-8.1-0.072-0.675-0.612-0.021-0.047+9.964-0.66+0.015-1.45-0.732-1.42+8.164-1.446-0.68-0.712-0.776-0.742-0.77+3.375-0.698-0.736-0.748-0.698-0.766-0.746-0.732-1.455-3.375-2.105-0.738+0.022+6.2+4.435+2.615+2.665+2.645+2.645-1.76-0.89-0.895-0.89-0.9-0.885-0.885-0.885-0.885-2.645-0.885-0.875-0.86-0.01-0.005-0.855-2.645-2.68+20.118+1.782-0.602-0.596+10.278-3.425-0.11-0.86-0.877-1.71+19.9-1.72-1.615-19.9-20.118+0.039+1.376-0.584+10.304-1.376+16.308-0.87-7.74-0.105-1.73-1.7-0.864-13.708-0.765+15.115+7.6-7.61-0.84-0.845-0.85-0.84</f>
        <v>11.729999999999997</v>
      </c>
      <c r="F764" s="25">
        <v>165000</v>
      </c>
    </row>
    <row r="765" spans="1:6">
      <c r="A765"/>
      <c r="B765" s="30" t="s">
        <v>234</v>
      </c>
      <c r="C765" s="30" t="s">
        <v>583</v>
      </c>
      <c r="D765" s="30" t="s">
        <v>233</v>
      </c>
      <c r="E765" s="53">
        <f>4.378+0.778-0.706-0.928-0.698-0.678+4.374-0.676-0.728-0.734-0.738+0.846+0.89+0.88+0.912+0.764+0.794+0.702-0.794-0.912-0.89-0.88-0.02-0.692-0.778-0.686-0.846+0.02-0.764-0.748-0.794+0.054-0.702+6.676+0.928-1.984-0.67-0.928-4.022+2.696+0.634+0.656+0.63+2.726-2.726+2.94+0.71+5.14+1.252-14.658+10.45-1.398-0.708-2.098</f>
        <v>6.2460000000000031</v>
      </c>
      <c r="F765" s="25">
        <v>170000</v>
      </c>
    </row>
    <row r="766" spans="1:6">
      <c r="A766"/>
      <c r="B766" s="30">
        <v>20</v>
      </c>
      <c r="C766" s="30" t="s">
        <v>802</v>
      </c>
      <c r="D766" s="30" t="s">
        <v>233</v>
      </c>
      <c r="E766" s="53">
        <f>5.176-1.062+4.45+0.714-1.052-1.03-0.866-0.948-2.032-2.636-0.714+0.996+1.016+1.002+1+1.014+1.008+1.006+1.03+0.992+0.762+0.884+1.002-1.014-0.996-1.03-1.016-1.002-1-1.008-1.006-0.992-0.762-0.884-1.002+8.184-2.006+2.62+3.16+2.105-0.708+5.05-1.028+4.985+2.155+3.13-0.716-2.62-1.06-0.702-0.652-0.09-0.682-15.54-1.02+10.206-1.04-1.69-1.01-9.166-1.885+0.02+15.66-1.06-1.07-13.575+0.045+14.815-0.975</f>
        <v>13.840000000000002</v>
      </c>
      <c r="F766" s="25">
        <v>158900</v>
      </c>
    </row>
    <row r="767" spans="1:6">
      <c r="A767"/>
      <c r="B767" s="30" t="s">
        <v>234</v>
      </c>
      <c r="C767" s="30" t="s">
        <v>802</v>
      </c>
      <c r="D767" s="30" t="s">
        <v>233</v>
      </c>
      <c r="E767" s="53">
        <f>0.886+6.11+0.95+1.002-0.876-0.888-0.002-0.002-0.886-0.864-0.846-0.868-0.882-0.884-0.95-1.002+0.002+0.876+0.834+1+0.796+0.98+0.946-0.876-0.834-1-0.796-0.98-0.946+1.066+0.97+1.038+1.034+1.018+1.046+1.056+0.998-0.998-1.066-1.038-1.034-0.97-1.018-1.056-1.046+0.92+0.858+0.906+0.924+0.892+0.904+0.868+0.826-0.858-0.826-0.92-0.906-0.924-0.892-0.904-0.868+6.752+0.966-0.966-0.946-0.948+3.538+1.692-0.996-0.992-0.956-0.96-0.954-3.538-1.692+6.41+3.694-0.912-1.886</f>
        <v>7.3060000000000018</v>
      </c>
      <c r="F767" s="25">
        <v>170000</v>
      </c>
    </row>
    <row r="768" spans="1:6">
      <c r="A768"/>
      <c r="B768" s="30">
        <v>20</v>
      </c>
      <c r="C768" s="30" t="s">
        <v>584</v>
      </c>
      <c r="D768" s="30" t="s">
        <v>233</v>
      </c>
      <c r="E768" s="53">
        <f>5.312-2.085+0.998+1.044+1.006+1.05+1.032-0.998-1.044-1.006-1.05-1.032-1.052-2.175+1.032+1.044+0.98+1.07+1.032+1.064+1.058+0.986+1.06+1.01+1.078+1.024-0.986-1.01-1.044-0.98-1.024-1.032-1.058-1.06-1.078-1.07-1.032-1.064+1.225+1.235+1.23+1.23+1.24-1.23+4.78-1.205-0.198-1.2-7.14+0.025+0.008+10.672-1.185-1.19-0.105-2.374-1.175-2.368+5.445-1.185-2.19-3.266-1.092+0.002+0.011+9.016-1.127-4.508</f>
        <v>3.3809999999999967</v>
      </c>
      <c r="F768" s="25">
        <v>165000</v>
      </c>
    </row>
    <row r="769" spans="1:6">
      <c r="A769"/>
      <c r="B769" s="30" t="s">
        <v>234</v>
      </c>
      <c r="C769" s="30" t="s">
        <v>584</v>
      </c>
      <c r="D769" s="30" t="s">
        <v>233</v>
      </c>
      <c r="E769" s="53">
        <f>4.952-1.036-0.756-3.16+0.91+0.95+0.95+1.098+1.07+0.978+1.012+0.94+1.058+0.934+0.996+1.066-1.098-0.996-0.91-0.95-0.95-1.07-0.978-1.012-0.94-1.058-0.934-1.066+0.938+0.9+0.934+0.986+0.96+0.92+0.954+0.954+0.972+0.95+0.878+0.98-0.9-0.96-0.954-0.954-0.92-0.934-0.98-0.972-0.938+5.892+0.97+0.93+0.97-8.706-0.93-0.97+8.758+0.986-0.986-0.986-2.92</f>
        <v>5.8219999999999956</v>
      </c>
      <c r="F769" s="25">
        <v>170000</v>
      </c>
    </row>
    <row r="770" spans="1:6">
      <c r="A770"/>
      <c r="B770" s="30">
        <v>20</v>
      </c>
      <c r="C770" s="30" t="s">
        <v>585</v>
      </c>
      <c r="D770" s="30" t="s">
        <v>233</v>
      </c>
      <c r="E770" s="53">
        <f>1.43+1.395+1.395+1.405+1.375+1.4+1.195-1.43-1.395-1.405+1.42+1.39-1.425-1.39+0.005-1.375-1.4-1.395-0.34-0.119+2.59+3.85+6.42-2.59-3.85-1.302-1.3-1.3-1.3-1.218-0.742+0.006+10.898-1.405-1.41+5.42-2.73-1.365-2.69</f>
        <v>6.7180000000000017</v>
      </c>
      <c r="F770" s="25">
        <v>158900</v>
      </c>
    </row>
    <row r="771" spans="1:6">
      <c r="A771"/>
      <c r="B771" s="30" t="s">
        <v>234</v>
      </c>
      <c r="C771" s="30" t="s">
        <v>585</v>
      </c>
      <c r="D771" s="30" t="s">
        <v>233</v>
      </c>
      <c r="E771" s="53">
        <f>4.904-4.904+0.904+1.03-1.934+3.962-1.042-0.934-0.108+1.032+0.908+1.056+1.036+1.022+0.992+0.97+1.01+0.922+1.066+0.972-1.022-1.066-0.934-0.944-0.97-1.01-0.92-1.036-0.992-0.002-1.008+1.012+0.994+1.06+1.03+0.988-1.03-1.012-0.994-1.06-0.988+0.978+0.946+1+0.958+1.036+0.934-0.978-0.946-1-0.958-1.036-0.934-2.96+1.016+1.148+0.98+1.034+0.848+1.044+0.986+1.02-1.016-1.148-0.98-1.034-0.848+1.078-1.078-0.986+5.242-1.044-1.02+1.018+0.948+1.048+1.006+1.97+1.02-1.006</f>
        <v>11.246</v>
      </c>
      <c r="F771" s="25">
        <v>170000</v>
      </c>
    </row>
    <row r="772" spans="1:6">
      <c r="A772"/>
      <c r="B772" s="30">
        <v>20</v>
      </c>
      <c r="C772" s="30" t="s">
        <v>586</v>
      </c>
      <c r="D772" s="30" t="s">
        <v>233</v>
      </c>
      <c r="E772" s="53">
        <f>6.026-1.965-4.065+0.004+1.005-1.005+1.368+1.416+1.384+1.422-1.422-1.368+3.155+3.16-1.384+2.62-1.305-1.416-1.385-3.155+0.07+4.182-1.58-1.407+4.778-2.78+0.005</f>
        <v>6.3579999999999997</v>
      </c>
      <c r="F772" s="25">
        <v>158500</v>
      </c>
    </row>
    <row r="773" spans="1:6">
      <c r="A773"/>
      <c r="B773" s="30" t="s">
        <v>234</v>
      </c>
      <c r="C773" s="30" t="s">
        <v>586</v>
      </c>
      <c r="D773" s="30" t="s">
        <v>233</v>
      </c>
      <c r="E773" s="53">
        <f>1.104+1.144+1.408-1.144-1.408+5.498</f>
        <v>6.6020000000000003</v>
      </c>
      <c r="F773" s="25">
        <v>170000</v>
      </c>
    </row>
    <row r="774" spans="1:6">
      <c r="A774"/>
      <c r="B774" s="30">
        <v>20</v>
      </c>
      <c r="C774" s="30" t="s">
        <v>587</v>
      </c>
      <c r="D774" s="30" t="s">
        <v>233</v>
      </c>
      <c r="E774" s="53">
        <f>3.844+1.49+1.558+1.526-1.558-1.526-0.011+1.482+1.444+1.44+1.45+1.43+1.51-1.482-1.44-1.16-1.444-0.354-1.45-1.43-1.32-1.364-0.32-1.51-0.858+0.053+15.728-3.215+3.215-1.62-1.595-1.595-1.58-1.57-1.544-0.002-1.56</f>
        <v>4.6619999999999955</v>
      </c>
      <c r="F774" s="25">
        <v>159000</v>
      </c>
    </row>
    <row r="775" spans="1:6">
      <c r="A775"/>
      <c r="B775" s="30" t="s">
        <v>234</v>
      </c>
      <c r="C775" s="30" t="s">
        <v>587</v>
      </c>
      <c r="D775" s="30" t="s">
        <v>233</v>
      </c>
      <c r="E775" s="53">
        <f>1.406+1.376+4.292-1.406-4.292-1.376+1.536+1.496+1.458+1.472+4.44-1.536-1.496-1.458-1.472-4.44+16.084-1.448-1.436-1.422-1.446-1.47-1.454-0.069+1.376+1.444+1.364+1.424+1.406+1.416+1.414-1.423-1.505-1.482-1.464-0.001-0.01-1.454-1.416-1.444-1.424+1.068+1.518+1.548+1.502+1.408+1.544+1.512+1.524-1.376-1.406-1.548-1.502-1.512-1.518-1.524-1.408-1.544-1.068-1.376-1.414+0.012+3.928+1.306+1.278+1.41+1.288+1.448-1.186-1.41-1.448-1.306-1.278+8.37+1.34-1.414-1.462-1.4-1.3-1.478-1.288</f>
        <v>5.3979999999999979</v>
      </c>
      <c r="F775" s="25">
        <v>170000</v>
      </c>
    </row>
    <row r="776" spans="1:6">
      <c r="A776"/>
      <c r="B776" s="30">
        <v>20</v>
      </c>
      <c r="C776" s="30" t="s">
        <v>1105</v>
      </c>
      <c r="D776" s="30" t="s">
        <v>233</v>
      </c>
      <c r="E776" s="53">
        <f>5.05-3.365-1.7+0.015+10.836</f>
        <v>10.836</v>
      </c>
      <c r="F776" s="25">
        <v>159000</v>
      </c>
    </row>
    <row r="777" spans="1:6">
      <c r="A777"/>
      <c r="B777" s="30">
        <v>20</v>
      </c>
      <c r="C777" s="30" t="s">
        <v>588</v>
      </c>
      <c r="D777" s="30" t="s">
        <v>233</v>
      </c>
      <c r="E777" s="53">
        <f>5.101-1.765-1.63-1.706+1.98+1.946+2.02-1.98-2.02-0.18-1.77+0.004+1.942+1.978+2.028+1.788-0.171-1.942-1.788+2.052-2.052-1.857-1.978+1.892+1.972+1.998-1.998-1.975+0.003+3.177+3.175-1.892-1.575-1.585-1.59+1.664+1.842+1.798+1.602-1.842-1.555-1.664-1.798-1.602-0.047+6.175-6.175+4+4+8-3.995-8-2-2-0.005+28.854-20.4-1.7-1.685-1.735-3.425+0.091+10.016-10.016</f>
        <v>0</v>
      </c>
      <c r="F777" s="25">
        <v>159000</v>
      </c>
    </row>
    <row r="778" spans="1:6">
      <c r="A778"/>
      <c r="B778" s="30" t="s">
        <v>234</v>
      </c>
      <c r="C778" s="30" t="s">
        <v>588</v>
      </c>
      <c r="D778" s="30" t="s">
        <v>233</v>
      </c>
      <c r="E778" s="53">
        <f>1.79+1.752-1.79-1.752+1.635+1.822+1.726+1.738-1.738-1.822-1.726-1.635+1.98+1.938+1.944+1.998+1.964+1.97+1.698+1.828+1.22+2.006+1.982-1.938-1.998-2.006-1.828-1.944-1.982-1.22-1.98-1.964-1.97-1.698+1.676+1.58+1.678+1.704-1.704-1.676-1.58-1.678+1.986+2.06+2.082+2.06+2.08+1.912-2.06-2.064+2.084+1.996+2.064-1.986-2.06-2.082-2.08-1.912-2.084-1.996+1.768+1.79+1.894+1.824+1.746+1.658+1.82+1.754+1.834+1.804+1.748+1.828+1.208-1.208-1.768-1.828-3.582-1.754-1.746-1.79-1.824-0.089-1.715-3.478-1.894+9.178+1.698-1.778-1.844-1.848-1.846-1.698+13.572+1.706-1.862-1.994</f>
        <v>13.283999999999997</v>
      </c>
      <c r="F778" s="25">
        <v>171000</v>
      </c>
    </row>
    <row r="779" spans="1:6">
      <c r="A779"/>
      <c r="B779" s="30">
        <v>20</v>
      </c>
      <c r="C779" s="30" t="s">
        <v>589</v>
      </c>
      <c r="D779" s="30" t="s">
        <v>233</v>
      </c>
      <c r="E779" s="53">
        <f>12.526+2.066+1.588-4.33-2.162-2.072-1.582-2.11+4.33+2+2.068+1.894-1.894-2-2.165+1.968+2.068+1.99+2.11+2.078-2.068-2.068-2-2.165-1.925-2.078-2.11-1.968-1.99+0.001+2.122+2.124+2.12+1.93-2.122-2.124-2.12-1.93+2.38+2.405-2.405+2.395+2.405+2.39+2.415-2.405-0.01-2.38-2.385-2.415-2.39+11.324+4.33+2.166-2.263-2.336-2.26-2.195</f>
        <v>8.7659999999999965</v>
      </c>
      <c r="F779" s="25">
        <v>158900</v>
      </c>
    </row>
    <row r="780" spans="1:6">
      <c r="A780"/>
      <c r="B780" s="30" t="s">
        <v>234</v>
      </c>
      <c r="C780" s="30" t="s">
        <v>589</v>
      </c>
      <c r="D780" s="30" t="s">
        <v>233</v>
      </c>
      <c r="E780" s="53">
        <f>2.23+2.192-2.23-2.192+1.716+1.914+1.824+1.786+11.28-1.908-1.824-1.85-1.91-1.832-1.86-1.92-1.914-1.786-1.716+10.184-2.07-2.1-2.1-3.914+2.01+1.964+1.93-2.01+1.804+1.968+1.85+1.85-1.85-1.85-1.964-1.968-1.804-1.93+9.226-1.966-1.836-1.792+1.914+1.872+1.892-1.914-1.872-1.832+10.096-2.116-2.112-1.972-2.08</f>
        <v>5.5080000000000009</v>
      </c>
      <c r="F780" s="25">
        <v>170900</v>
      </c>
    </row>
    <row r="781" spans="1:6">
      <c r="A781"/>
      <c r="B781" s="30">
        <v>20</v>
      </c>
      <c r="C781" s="30" t="s">
        <v>590</v>
      </c>
      <c r="D781" s="30" t="s">
        <v>233</v>
      </c>
      <c r="E781" s="53">
        <f>13.172-1.99+5.542-2.08-1.825-3.651-1.815+1.8-1.81+2.14-2.006-1.635-1.902-2.14-1.8+2.108+2.098+2.112+7.24+2.484-2.108-2.112-2.098-2.41-2.41-2.42+11.38-2.28-2.4-9.13-0.084+0.03+7.215-2.43+13.322+2.554-2.42+4.632-5.3-8.022-2.365-2.534-4.632-0.02+11.868-2.36</f>
        <v>9.5079999999999973</v>
      </c>
      <c r="F781" s="25">
        <v>201000</v>
      </c>
    </row>
    <row r="782" spans="1:6">
      <c r="A782"/>
      <c r="B782" s="30" t="s">
        <v>234</v>
      </c>
      <c r="C782" s="30" t="s">
        <v>590</v>
      </c>
      <c r="D782" s="30" t="s">
        <v>233</v>
      </c>
      <c r="E782" s="53">
        <f>6.312+2.07-0.02-6.312+1.144+2.122+2-1.144-2.122-2-2.05+2.14-2.14+2.14+1.898+2.012-2.14-1.898-2.012+2.044+2.056+2.082+2.092+2.016-2.092</f>
        <v>8.1980000000000004</v>
      </c>
      <c r="F782" s="25">
        <v>246000</v>
      </c>
    </row>
    <row r="783" spans="1:6">
      <c r="A783"/>
      <c r="B783" s="30">
        <v>20</v>
      </c>
      <c r="C783" s="30" t="s">
        <v>591</v>
      </c>
      <c r="D783" s="30" t="s">
        <v>233</v>
      </c>
      <c r="E783" s="53">
        <f>9.754+2.428+2.452-2.452-2.445-2.428-7.309</f>
        <v>0</v>
      </c>
      <c r="F783" s="25">
        <v>201000</v>
      </c>
    </row>
    <row r="784" spans="1:6">
      <c r="A784"/>
      <c r="B784" s="30">
        <v>20</v>
      </c>
      <c r="C784" s="30" t="s">
        <v>592</v>
      </c>
      <c r="D784" s="30" t="s">
        <v>233</v>
      </c>
      <c r="E784" s="53">
        <f>13.674-2.258-2.114-2.076-2.387-2.398-2.441+2.084+2.02+2.094+2.098-2.02-2.094-2.084-2.098+2.086+2.096+2.17+2.188-2.086-2.096-2.17-2.188+2.37+9.05+2.428+7.3-6.92+0.009-2.37-2.13-4.875-2.447-2.428+0.013+4.77+2.378+9.843-2.47-4.91-2.385-2.5-2.385</f>
        <v>2.3410000000000064</v>
      </c>
      <c r="F784" s="25">
        <v>201000</v>
      </c>
    </row>
    <row r="785" spans="1:6">
      <c r="A785"/>
      <c r="B785" s="30" t="s">
        <v>234</v>
      </c>
      <c r="C785" s="30" t="s">
        <v>592</v>
      </c>
      <c r="D785" s="30" t="s">
        <v>233</v>
      </c>
      <c r="E785" s="53">
        <f>6.686+2.25-6.686-2.25+2.084+2.112+2.136+2.11-2.084-2.112-2.11+2.152+2.206+2.21-2.136-2.152-2.206-2.21+2.132+2.046+2.038-2.132-2.046-2.038+2.028+2.046+2.172-2.028-2.046-2.172+1.994+1.96+1.792+1.87+1.884+1.864-0.25-1.71-1.792-1.994+6.184-4.152-1.884-1.864-1.87+4.338+1.634-2.032-1.634+2.158+2.18+2.104+2.176-2.154</f>
        <v>10.802000000000001</v>
      </c>
      <c r="F785" s="25">
        <v>246000</v>
      </c>
    </row>
    <row r="786" spans="1:6">
      <c r="A786"/>
      <c r="B786" s="30">
        <v>20</v>
      </c>
      <c r="C786" s="30" t="s">
        <v>593</v>
      </c>
      <c r="D786" s="30" t="s">
        <v>233</v>
      </c>
      <c r="E786" s="53">
        <f>6.645-2.176+2.506+5.88-2.495+3.08-2.235-2.234-0.011+2.17+2.212+2.08-2.17-2.212-2.08-3.08-2.94-2.94+1.996+2.048+2.146+7.14+2.392-2.391-1.996-2.146-2.048-2.392-2.395+2.03+2.104+9.592-2.39-2.104-4.796-2.415+0.009+15.128-2.365+0.011-2.03-3.05-3.065</f>
        <v>9.0129999999999999</v>
      </c>
      <c r="F786" s="25">
        <v>204000</v>
      </c>
    </row>
    <row r="787" spans="1:6">
      <c r="A787"/>
      <c r="B787" s="30" t="s">
        <v>234</v>
      </c>
      <c r="C787" s="30" t="s">
        <v>593</v>
      </c>
      <c r="D787" s="30" t="s">
        <v>233</v>
      </c>
      <c r="E787" s="53">
        <f>2.156+2.132+2.106-2.132-2.156-2.106+1.564+2.04+2.06+2.106+2.248+2.22-2.248-1.564-2.06-2.106-2.04+2.122+2.16+2.178-8.68+6.328+4.182-6.328-4.182+8.076</f>
        <v>8.0760000000000005</v>
      </c>
      <c r="F787" s="25">
        <v>246000</v>
      </c>
    </row>
    <row r="788" spans="1:6">
      <c r="A788"/>
      <c r="B788" s="30">
        <v>20</v>
      </c>
      <c r="C788" s="30" t="s">
        <v>594</v>
      </c>
      <c r="D788" s="30" t="s">
        <v>233</v>
      </c>
      <c r="E788" s="53">
        <f>9.238-3.11-3.12+2.046+2.144+2.002+2.835-2.046-2.144+2.728-2.002+3.143+3.143-3.008-2.728-3.143-2.835-3.16+0.017+2.484+2.518+8.822-2.23-2.455-4.496-0.029+2.708+8.124-5.434-0.12-0.101-1.875-2.48-0.038-2.664</f>
        <v>2.7340000000000031</v>
      </c>
      <c r="F788" s="25">
        <v>205000</v>
      </c>
    </row>
    <row r="789" spans="1:6">
      <c r="A789"/>
      <c r="B789" s="30" t="s">
        <v>234</v>
      </c>
      <c r="C789" s="30" t="s">
        <v>594</v>
      </c>
      <c r="D789" s="30" t="s">
        <v>233</v>
      </c>
      <c r="E789" s="53">
        <f>2.016+2.032+2.028+1.792-2.016-2.028-1.792-2.032+2.162+2.172+2.166+2.218-2.162-2.166-2.172+1.93+2.06+2.056-2.218-2.06-2.056+1.368+2.206+2.162-1.93-1.368-2.206-2.162+2.142+2.068+2.07+1.906+2.134+2.12-2.142-2.068-2.07-1.906-2.134-2.12+2.064+15.544-1.94-1.998-2.09-1.884-3.838-1.932-2.064+2.104+2.114+2.072</f>
        <v>8.1520000000000046</v>
      </c>
      <c r="F789" s="25">
        <v>246000</v>
      </c>
    </row>
    <row r="790" spans="1:6">
      <c r="A790"/>
      <c r="B790" s="30">
        <v>20</v>
      </c>
      <c r="C790" s="30" t="s">
        <v>595</v>
      </c>
      <c r="D790" s="30" t="s">
        <v>233</v>
      </c>
      <c r="E790" s="53">
        <f>5.402+4.25-5.402+6.274+2.166+1.926+2.144-1.926+3.1-2.16-2.144-3.125-0.006-3.13-0.019-2.12-3.095-0.005+3.14-3.14+11.714-2.929+9.2-0.495-2.93-3.092-2.929-3.06-0.655-2.13-2.93+0.004-1.9+0.002+14.62-2.9-2.92</f>
        <v>8.7999999999999989</v>
      </c>
      <c r="F790" s="25">
        <v>205000</v>
      </c>
    </row>
    <row r="791" spans="1:6">
      <c r="A791"/>
      <c r="B791" s="30" t="s">
        <v>234</v>
      </c>
      <c r="C791" s="30" t="s">
        <v>595</v>
      </c>
      <c r="D791" s="30" t="s">
        <v>233</v>
      </c>
      <c r="E791" s="53">
        <f>5.71-1.778-2-1.932+2.078+2.192+2.122+2.084-2.078-2.192-2.122-2.084+1.904+8.204-4.158-4.046-1.904+4.066+2.156-4.066-2.156+5.814+5.8-2.108-1.846</f>
        <v>7.66</v>
      </c>
      <c r="F791" s="25">
        <v>246000</v>
      </c>
    </row>
    <row r="792" spans="1:6">
      <c r="A792"/>
      <c r="B792" s="30">
        <v>20</v>
      </c>
      <c r="C792" s="30" t="s">
        <v>811</v>
      </c>
      <c r="D792" s="30" t="s">
        <v>233</v>
      </c>
      <c r="E792" s="53">
        <f>3.09-3.09+2.214+2.06+2.158+2.022+2.16-2.022-2.214-2.06-2.158-2.16+2.246+2.204+1.978-2.246-2.204-1.978+2.056+2.09+2.23-2.23-2.056-2.09+3.155+3.13+3.105+3.075+3.06-3.155-3.06-3.105-3.075+2.96-3.13+9.418-3.14-3.14-3.14+0.002-2.96+9.222-3.075-3.08-3.075+0.008+9.512-3.195-3.125-3.195+0.003+15.63-6.29-3.13-3.145-3.13+0.065+11.425-3.77</f>
        <v>7.654999999999994</v>
      </c>
      <c r="F792" s="25">
        <v>219000</v>
      </c>
    </row>
    <row r="793" spans="1:6">
      <c r="A793"/>
      <c r="B793" s="30" t="s">
        <v>234</v>
      </c>
      <c r="C793" s="30" t="s">
        <v>811</v>
      </c>
      <c r="D793" s="30" t="s">
        <v>233</v>
      </c>
      <c r="E793" s="53">
        <f>9.434-1.93-1.798-1.862-1.948+1.874+1.99+2.088-1.99-2.088-1.874-1.896+1.944+2.078+2.074+2.006+2.13-1.944-2.006-2.078-2.074+2.076+2.098+2.038+2.024-2.076-2.038-2.098-2.024+1.948+9.746+11.694-11.694-1.948-1.928-1.848-2.13-3.986-1.984+1.868+1.868+1.932</f>
        <v>5.6679999999999993</v>
      </c>
      <c r="F793" s="25">
        <v>246000</v>
      </c>
    </row>
    <row r="794" spans="1:6">
      <c r="A794"/>
      <c r="B794" s="30">
        <v>20</v>
      </c>
      <c r="C794" s="30" t="s">
        <v>848</v>
      </c>
      <c r="D794" s="30" t="s">
        <v>233</v>
      </c>
      <c r="E794" s="53">
        <f>1.942-1.942+3.095+3.13-3.095+9.414-3.138-3.13-3.138</f>
        <v>3.137999999999999</v>
      </c>
      <c r="F794" s="25">
        <v>219000</v>
      </c>
    </row>
    <row r="795" spans="1:6">
      <c r="A795"/>
      <c r="B795" s="30">
        <v>20</v>
      </c>
      <c r="C795" s="30" t="s">
        <v>812</v>
      </c>
      <c r="D795" s="30" t="s">
        <v>233</v>
      </c>
      <c r="E795" s="53">
        <f>3.16-3.05-0.11+2.024+2.06+2.098-2.1+0.002-2.024-2.06-3.175-3.157+3.175+3.157+2.01+2.234+2.19-2.19-2.01-2.234+2.845+2.83-2.83+3.157-3.15-0.007-2.845+3.14+3.135+3.13+3.053-3.135-3.14-3.16+0.107-3.13+2.216+2.118-2.118-2.216+6.092+6.092-6.092-0.034-3.08-2.978+27.016-6.04-3.005-3.04-3.005-3+3-6.045-3-3.005+0.124+9.919-2.49+3.846+7.71</f>
        <v>18.985000000000003</v>
      </c>
      <c r="F795" s="25">
        <v>219000</v>
      </c>
    </row>
    <row r="796" spans="1:6">
      <c r="A796"/>
      <c r="B796" s="30">
        <v>20</v>
      </c>
      <c r="C796" s="30" t="s">
        <v>849</v>
      </c>
      <c r="D796" s="30" t="s">
        <v>233</v>
      </c>
      <c r="E796" s="53">
        <f>3.021+2.11+2.23-2.11-2.23+3.046-3.021-3.046+2.995+3.02+3.005+3.015</f>
        <v>12.035000000000002</v>
      </c>
      <c r="F796" s="25">
        <v>219000</v>
      </c>
    </row>
    <row r="797" spans="1:6">
      <c r="A797"/>
      <c r="B797" s="30">
        <v>20</v>
      </c>
      <c r="C797" s="30" t="s">
        <v>849</v>
      </c>
      <c r="D797" s="30" t="s">
        <v>934</v>
      </c>
      <c r="E797" s="53">
        <f>2.11+2.23-2.11+1.705</f>
        <v>3.9350000000000001</v>
      </c>
      <c r="F797" s="25">
        <v>219000</v>
      </c>
    </row>
    <row r="798" spans="1:6">
      <c r="A798"/>
      <c r="B798" s="30">
        <v>20</v>
      </c>
      <c r="C798" s="30" t="s">
        <v>191</v>
      </c>
      <c r="D798" s="30" t="s">
        <v>233</v>
      </c>
      <c r="E798" s="53">
        <f>57.245-8.705-0.715-2.16-0.608-1.465-0.55-2.87-0.72-2.218-1.46-0.7-0.76-1.42-0.735+0.022-0.72-0.744-0.715-3.565+0.023-0.752-14.09-2.64+2.876+2.853+1.466+2.924+2.785+2.111+2.878+2.11-0.746-2.876-2.853-2.039-1.421-1.135-2.111-1.466-2.11-0.728-1.38-1.405-1.544-1.464-1.414-1.38-0.714-0.016-0.375-0.563-0.742+0.334+6.975+13.95-2.14-0.005-0.705+13.17+11.23+14.765-0.71-2.125-2.085-0.71-3.53-1.4-1.415-0.71-1.39-0.735-0.475-0.7-1.39-0.72-0.71-3.525-2.095-2.105+3.085-2.772-2.8-8.104-7.498-0.7-1.495-0.705-2.646+25.845-0.63-4.965+86.54-0.7-2.12-20.358-0.763-2.83-9.045-15.765-14.204-19.955-5.393-4.329-0.575-11.436+0.005-1.35-0.71+0.088-0.7-0.018+20.839+20.914-0.67-2.245+13.698-14.412-0.748-0.708-0.64+1.521-1.291+5.325-0.761-1.435-6.159</f>
        <v>37.767999999999986</v>
      </c>
      <c r="F798" s="25">
        <v>158500</v>
      </c>
    </row>
    <row r="799" spans="1:6">
      <c r="A799"/>
      <c r="B799" s="30" t="s">
        <v>234</v>
      </c>
      <c r="C799" s="30" t="s">
        <v>1106</v>
      </c>
      <c r="D799" s="32" t="s">
        <v>930</v>
      </c>
      <c r="E799" s="53">
        <f>2.82+1.246-1+0.019</f>
        <v>3.085</v>
      </c>
      <c r="F799" s="102">
        <v>140000</v>
      </c>
    </row>
    <row r="800" spans="1:6">
      <c r="A800"/>
      <c r="B800" s="30" t="s">
        <v>234</v>
      </c>
      <c r="C800" s="30" t="s">
        <v>191</v>
      </c>
      <c r="D800" s="30" t="s">
        <v>233</v>
      </c>
      <c r="E800" s="53">
        <f>19.28-0.69-0.75-1.48-2.775+10.081-0.693-1.47+7.785+4.582-1.096-1.07-0.74-2.935-9.426-10.201+21.65+18.289-11.596-0.735-0.74+20.861-0.575-17.714-6.406-5.97-0.75-0.645-0.504-13.55-7.245-0.6+0.061+15.29+5.74+2.903+2.822+2.905+2.931+2.864+2.63+2.77-0.758-0.735-1.485-11.76-5.8-1.37-0.09+0.06+0.06-2.145-1.427-1.48-1.425-2.931-2.864-0.513-0.76+2.92+2.99+2.95+2.93+2.925+2.895+2.9+2.89+1.47+2.87+0.055-0.745+1.48-0.685-15+1.46+17.72-0.005-1.47-2.895+10.22+1.195-0.743-0.72-0.443-1.037-0.741-0.882-1.185-2.87-2.692+0.1+0.078-2.17-0.965-0.695-3.65-1.425-0.015-1.34+1.195-0.74-1.435-0.71-0.01+0.01-1.5-0.73-0.67-0.045-0.76+0.53+0.045-0.725-0.625+0.625-0.684-0.755-0.73-0.146-0.72-15.515-0.205+0.205+0.001+20.09-0.755-2.825-2.845-10.72-1.477-0.742-0.726+19.83-4.917-2.858-0.71+2.82-2.82-1.246-2.775+16.543-8.57-2.796+0.665-0.7-2.09+20.28-3.18-5.69-7.697-1.44+20.373-20.373+6.631-0.08-4.312-2.226</f>
        <v>13.907999999999987</v>
      </c>
      <c r="F800" s="25">
        <v>164000</v>
      </c>
    </row>
    <row r="801" spans="1:6">
      <c r="A801"/>
      <c r="B801" s="30" t="s">
        <v>234</v>
      </c>
      <c r="C801" s="30" t="s">
        <v>596</v>
      </c>
      <c r="D801" s="30" t="s">
        <v>233</v>
      </c>
      <c r="E801" s="53">
        <f>6.098-2.665-2.763-0.67+3.433-0.678-0.67-2.115+0.03</f>
        <v>-2.4980018054066022E-16</v>
      </c>
      <c r="F801" s="25">
        <v>164000</v>
      </c>
    </row>
    <row r="802" spans="1:6">
      <c r="A802"/>
      <c r="B802" s="30">
        <v>20</v>
      </c>
      <c r="C802" s="30" t="s">
        <v>1107</v>
      </c>
      <c r="D802" s="32" t="s">
        <v>930</v>
      </c>
      <c r="E802" s="53">
        <f>0.886+1.989</f>
        <v>2.875</v>
      </c>
      <c r="F802" s="102">
        <v>144600</v>
      </c>
    </row>
    <row r="803" spans="1:6">
      <c r="A803"/>
      <c r="B803" s="30">
        <v>20</v>
      </c>
      <c r="C803" s="30" t="s">
        <v>68</v>
      </c>
      <c r="D803" s="30" t="s">
        <v>233</v>
      </c>
      <c r="E803" s="53">
        <f>7.63+1.479+1.965+0.497+0.99-0.885-0.942-3.558-0.011-1.763-1.479-1.965-0.497-1.133+0.143+3.588+0.957+1.924+1.921+1.464-0.044+5.438-1.002+1.328+21.801-0.792-0.93-0.92+0.792-0.792-1.86-3.571-3.582-0.932+0.655-2.64-3.6-1.48+0.012-0.94-0.92+0.021-0.885-1.85-0.923-2.745-3.653-0.46+0.033-0.957-0.548-0.92+0.011+9.733-2.647-0.89+3.496-0.931-3.496-0.374-0.136-3.554-0.89+0.878+0.94+0.914+0.912+0.866+0.904+0.952+0.896+0.922+0.856+0.854-0.821-0.878-0.94-0.856-0.001-0.87+0.049-0.912-0.866-0.074+1.778+2.355+3.013+1.73+1.592+0.802+3.599+2.668+3.168-0.018-0.904-0.952-2.668-0.916-1.592-1.778+4.605-2.355-1.902-0.914+4.655-0.93-0.676-0.896-0.008-0.854+0.004-2.683-3.168-0.624-1.86-2.78-0.93-0.92+1.84+1.84+1.84-0.93-0.92-0.895-0.015-0.92+14.63-2.75-0.487-1.73-0.802-0.915-1.84-0.92-3.67-3.655-0.92-1.84-0.917-0.94+0.057-0.88+0.88+11.792-1.785-0.93-3.583-1.9-3.594+0.886+11.874-0.886-1.989-3.39+14.445-2.555-1.71-0.85</f>
        <v>18.113</v>
      </c>
      <c r="F803" s="25">
        <v>163000</v>
      </c>
    </row>
    <row r="804" spans="1:6">
      <c r="A804"/>
      <c r="B804" s="30" t="s">
        <v>234</v>
      </c>
      <c r="C804" s="30" t="s">
        <v>68</v>
      </c>
      <c r="D804" s="30" t="s">
        <v>233</v>
      </c>
      <c r="E804" s="53">
        <f>19.583-7.185-2.629-2.665-1.798-3.661+1.807+1.873+0.933+2.23+0.691+0.691+0.69+0.947+0.566+0.526+1.179+1.775-0.865-0.985-2.627+0.04-7.636-0.944-1.756+0.418-0.407+0.865-1.656+13.84+0.886+2.633+3.534+2.665+0.91-0.794-0.915-0.865-3.534-0.87-0.844-4.644-0.74-5.309-4.566-0.596-0.848+0.057+0.688+2.285+1.532+1.509+0.785-0.688-2.285-1.532-1.509-0.785+2.678+7.7-2.678+3.492+1.72+0.845-5.212-0.044-0.801-0.906+2.67+3.545+3.521-2.67-3.545-3.521+3.439+3.529+3.552+3.596-14.116+0.82+0.8-0.835-0.8-0.85-0.835-0.002-0.868-0.906+0.72-0.924-0.72-0.866+0.888+0.808+0.886+11.24-0.845+0.135+0.844+0.826+0.906+0.858+0.848+0.858+0.894+0.868-4.326-0.906-2.552-1.754-0.844-0.888-0.826+7.804+4.414-4.414-7.804-0.82+0.002-0.868+3.644-11.404+0.871+0.844+0.828+0.886+2.324+2.17</f>
        <v>7.9229999999999929</v>
      </c>
      <c r="F804" s="25">
        <v>172000</v>
      </c>
    </row>
    <row r="805" spans="1:6">
      <c r="A805"/>
      <c r="B805" s="28">
        <v>10</v>
      </c>
      <c r="C805" s="30" t="s">
        <v>1063</v>
      </c>
      <c r="D805" s="30" t="s">
        <v>233</v>
      </c>
      <c r="E805" s="53">
        <f>0.815</f>
        <v>0.81499999999999995</v>
      </c>
      <c r="F805" s="25">
        <v>159000</v>
      </c>
    </row>
    <row r="806" spans="1:6">
      <c r="A806"/>
      <c r="B806" s="30">
        <v>20</v>
      </c>
      <c r="C806" s="30" t="s">
        <v>84</v>
      </c>
      <c r="D806" s="30" t="s">
        <v>233</v>
      </c>
      <c r="E806" s="53">
        <f>8.729-0.762-0.96-1.095+1.1+0.732+1+1.04+1.036+1.014+1.076+1.038+1.032+1.074+1.054+1.068+1.066+1.028+1.074+1.054+1.026+1.026+1+1.084+4.34-1.04-1.1-1+5.49-1.084-1.036-1.014+5.55+0.64+2.26-1.026+2.215+9.872-2.26-1.1-1.054-4.444-1.105-1.09+0.013-10.46+1.08-1.115-5.428-1.04-1.076-0.06-2.225-1.115-1.08-1.095-1.12+17.528-0.732-0.63-1.09-1.09-1.092-1.105-1.105-0.023-8.83-1.09-1.065-4.385-2.206-0.01-1.072+0.042+9.84+6.374-1.08</f>
        <v>21.005999999999979</v>
      </c>
      <c r="F806" s="25">
        <v>158900</v>
      </c>
    </row>
    <row r="807" spans="1:6">
      <c r="A807"/>
      <c r="B807" s="30" t="s">
        <v>234</v>
      </c>
      <c r="C807" s="30" t="s">
        <v>84</v>
      </c>
      <c r="D807" s="30" t="s">
        <v>233</v>
      </c>
      <c r="E807" s="53">
        <f>25.116-1.04-0.002-1.016-1.036-0.195-0.095-0.978-1.01-1.008-1.054-1.044-1.038-0.924-1.058-1.01-0.188-0.888-1.04-0.04-0.026-0.004-0.984-0.002-0.042-0.08-0.092-2.014+1.008+0.954+1.034+0.938+0.958+1.068+1.034-0.956+2.014-0.733-0.91-0.954-1.034+0.866-1.068+0.942+0.962-1.034-1.008-0.938-0.958+0.826-0.866-1.004-1.941-1.01-0.942-0.962-0.826+1.148+4.618-2.305-1.148+4.296+4.313+2.022-1.145-1.02-2.16-1.057-2.16-1.082-1.175+0.007+6.13+4.856-8.255+0.918-0.04-0.987-1.972+9.045+7.258</f>
        <v>22.772999999999996</v>
      </c>
      <c r="F807" s="25">
        <v>168000</v>
      </c>
    </row>
    <row r="808" spans="1:6">
      <c r="A808"/>
      <c r="B808" s="30">
        <v>20</v>
      </c>
      <c r="C808" s="30" t="s">
        <v>597</v>
      </c>
      <c r="D808" s="30" t="s">
        <v>233</v>
      </c>
      <c r="E808" s="53">
        <f>9.386+1.195+2.662+1.329-1.032-1.195-1.97-2.662-0.303-1.32-1.31+1+0.898+10.868+1.016+1.018+1.014-8.035-1.27+0.96+0.938-1.96-1.3-1.467+0.441-0.05-1-0.898-0.873-0.96-0.938-1.018-1.016-1.014-1.49+1.49-1.127-0.053+0.046+1.032+1.064+1.076+1.03+1.052+1.03+1.058+1.038+1.028+1.052-1.076-1.052-1.064-1.058-1.038-1.028-1.032-1.03-1.052-1.03+3.736+6.441-1.28-1.275-2.621-1.265+1.036+1.016+1.086+1.022+1.064-1.25+0.868+1.002+1.044-1.064-1.036-1.016-1.086-1.002-1.044-0.284-1.255-1.231-0.868+2.62+3.87+2.6-0.74+0.002+3.875+2.58+2.615-1.3+0.003-3.87-2.6-2.59+0.015-1.315-1.305+9.758-2.618-1.327-1.25-0.003-1.235-1.235-7.688+0.4+14.763+0.955-1.15-1.245-0.17-3.71-4.97-1.073-1.245+10.17-1.24+0.04-1.28</f>
        <v>9.8450000000000006</v>
      </c>
      <c r="F808" s="25">
        <v>158900</v>
      </c>
    </row>
    <row r="809" spans="1:6">
      <c r="A809"/>
      <c r="B809" s="30" t="s">
        <v>234</v>
      </c>
      <c r="C809" s="30" t="s">
        <v>597</v>
      </c>
      <c r="D809" s="30" t="s">
        <v>233</v>
      </c>
      <c r="E809" s="53">
        <f>29.006-1.044-1.094-1.042-1.038-1.014-1.22-0.025-1.006-1.07-1.042-1.056-1.046-1.016-0.978-1.05-1.052-1.036-0.976-1.062-1.066-0.994-1.88-0.986-0.954-0.934+0.986+1.014+0.996+1.11+0.994+1.02+0.994+0.93+1.002+0.964+1.038+0.998+1.01+1.088-1.038-1.088-1.11-0.994-1.02-0.994-1.014+1.024+0.964+1.01+0.978+1.034+1.046+1.014+1.056+1.032+1.056+1.03+0.984+0.99+0.988-0.996-0.99-4.158-1.046-7.026-3.906-0.998-0.984-1.13-0.988-1.3+11.3+4.092-1.034-1.048-1.04-1.046-1.026-1.022-1.012-1.022-1.044-0.005-1.022-1.028-1.004-0.89</f>
        <v>3.0440000000000058</v>
      </c>
      <c r="F809" s="25">
        <v>168000</v>
      </c>
    </row>
    <row r="810" spans="1:6">
      <c r="A810"/>
      <c r="B810" s="30">
        <v>20</v>
      </c>
      <c r="C810" s="30" t="s">
        <v>598</v>
      </c>
      <c r="D810" s="30" t="s">
        <v>233</v>
      </c>
      <c r="E810" s="53">
        <f>1.482+10.415+1.44+1.474+1.458+1.446-1.325-1.474-0.016-1.44-0.025+1.384+1.468+1.418+1.43-1.446-1.43-1.445+0.028-2.63-1.468-1.418-1.482-3.898+1.436+1.462+1.47+1.456+1.438+1.428+1.51-1.436-1.462-1.255-1.438+1.255-1.384-1.47-1.456-1.51-1.428-1.255+8.065+1.385+1.385-8.065-1.307-1.385-1.395+0.01+1.186+1.39+1.46+1.436+1.138+1.462-1.186-1.39-1.462-1.46-1.138+1.44+1.46-1.436-1.44-1.46+5.725+5.735-1.43-5.735-1.43+3.05+1.48+1.348+1.444+1.48+1.426+1.462-1.444-1.462+7.232+2.884-1.348+5.774-2.865-5.774-1.331-1.48-1.426-1.48-1.515+8.964+5.735-1.535-0.01-4.485-1.5-1.515-3.085-1.553-7.152-0.08+14.872-1.345-0.109-0.142+0.142-1.48-1.48-8.935-2.66-2.977+0.01</f>
        <v>-1.3553394517806794E-14</v>
      </c>
      <c r="F810" s="25">
        <v>158900</v>
      </c>
    </row>
    <row r="811" spans="1:6">
      <c r="A811"/>
      <c r="B811" s="30" t="s">
        <v>234</v>
      </c>
      <c r="C811" s="30" t="s">
        <v>598</v>
      </c>
      <c r="D811" s="30" t="s">
        <v>233</v>
      </c>
      <c r="E811" s="53">
        <f>11.39-1.4-1.422-1.38-1.428-1.396-1.454-1.448-1.458-0.004+1.38+1.044+1.43+1.412+1.448+1.404+1.188+1.42-1.412+1.452+1.417-1.38-1.43-1.452-1.448-1.404-1.42-1.044-1.188-1.417+1.464+1.242+1.458+1.496+1.45+1.45-1.45+1.382+1.47-1.45-1.464-1.242-1.458-1.496-1.382-1.47+1.24-1.24+1.44+1.138+1.436+1.248+1.414-1.436-1.414-1.44-1.248+1.396+1.446+1.466+1.446+1.5+1.52+1.406+1.474+1.404+1.42+1.5+1.406+1.474+1.432-1.446-1.466-1.5-1.5-1.406-1.396-1.406-1.446-1.404-1.474-1.432-1.138-1.52-1.474+11.192+2.76+1.336+1.456-4.266-1.42-1.354-4.152-1.456-1.42-1.336-2.76+12.548+1.392+1.418-1.444-1.42-1.418-1.406+6.564+1.232+1.296-1.418-1.408+5.544-1.288-1.364-1.312-1.28-1.32-5.452-1.392-1.392+14.519-4.369</f>
        <v>16.829999999999991</v>
      </c>
      <c r="F811" s="25">
        <v>168000</v>
      </c>
    </row>
    <row r="812" spans="1:6">
      <c r="A812"/>
      <c r="B812" s="30" t="s">
        <v>234</v>
      </c>
      <c r="C812" s="30" t="s">
        <v>1061</v>
      </c>
      <c r="D812" s="30" t="s">
        <v>233</v>
      </c>
      <c r="E812" s="53">
        <f>0.952</f>
        <v>0.95199999999999996</v>
      </c>
      <c r="F812" s="25">
        <v>168000</v>
      </c>
    </row>
    <row r="813" spans="1:6">
      <c r="A813"/>
      <c r="B813" s="30">
        <v>20</v>
      </c>
      <c r="C813" s="30" t="s">
        <v>1108</v>
      </c>
      <c r="D813" s="32" t="s">
        <v>930</v>
      </c>
      <c r="E813" s="53">
        <f>0.372</f>
        <v>0.372</v>
      </c>
      <c r="F813" s="102">
        <v>144500</v>
      </c>
    </row>
    <row r="814" spans="1:6">
      <c r="A814"/>
      <c r="B814" s="30">
        <v>20</v>
      </c>
      <c r="C814" s="30" t="s">
        <v>160</v>
      </c>
      <c r="D814" s="30" t="s">
        <v>233</v>
      </c>
      <c r="E814" s="53">
        <f>10.172-3.382+1.498+1.49-1.7-5.09-1.498-1.49+10.325+1.71+3.33-1.73+0.02-5.16-1.64-1.69-5.165+1.59+3.2+6.41-1.61-1.59-0.01-3.205+1.859-1.58-0.29-2.925+0.01+4.807+4.761+1.629-4.761+0.372-0.372+10.078-3.25-0.039-1.557-3.36-1.685-1.629</f>
        <v>6.852999999999998</v>
      </c>
      <c r="F814" s="25">
        <v>158900</v>
      </c>
    </row>
    <row r="815" spans="1:6">
      <c r="A815"/>
      <c r="B815" s="30" t="s">
        <v>234</v>
      </c>
      <c r="C815" s="30" t="s">
        <v>160</v>
      </c>
      <c r="D815" s="30" t="s">
        <v>233</v>
      </c>
      <c r="E815" s="53">
        <f>5.074-2.749+1.46+1.524+1.538+1.544+1.526+1.43+1.478+4.868-1.43-0.006-1.54-1.472-2.325-1.46-1.524-1.538-0.004-1.526-1.582-1.66-1.655+0.029+1.43+1.4+1.432+1.372+1.41+1.434+1.344+1.428+1.394+1.37+6.898-1.37-1.428+4.155-1.344-1.394-1.418-1.378-1.372-1.41+0.965-1.43-1.4-1.432-1.434-1.458-1.252-1.392+1.3-3.27+1.542+1.454+1.382+1.466+1.402+1.454+1.452-1.542-1.454-1.466-1.402-1.454-1.452-0.888+0.003+1.422+1.378+1.374+1.388+1.45+1.446+1.386+1.362+1.278+1.378+1.376+1.448+1.306-1.376-1.422-0.965-1.378-1.374-1.388-1.386-1.362-1.278-1.378-1.382-1.45-1.446-1.448-1.306+1.384-1.3-1.384+1.496+1.384+1.382-1.496-1.384-1.382+1.402+1.314+1.492+1.364+1.35+1.439+1.486+1.378+1.136-1.314-1.364-1.35-1.378-1.136-1.402-1.492-1.439-1.486+1.45+12.382-1.45-1.506-1.458-1.404-1.352-1.43-5.232+8.44+1.326</f>
        <v>9.7659999999999911</v>
      </c>
      <c r="F815" s="25">
        <v>168000</v>
      </c>
    </row>
    <row r="816" spans="1:6">
      <c r="A816"/>
      <c r="B816" s="30">
        <v>20</v>
      </c>
      <c r="C816" s="30" t="s">
        <v>599</v>
      </c>
      <c r="D816" s="30" t="s">
        <v>233</v>
      </c>
      <c r="E816" s="53">
        <f>6.41+1.596-1.621+11.082+6.826+1.376-1.754-1.756-1.53-1.536-1.784+1.198+1.626+1.796+1.75+1.734+1.702+1.762-1.384-1.198+1.704+2.852-1.376-1.652-1.47-1.726-1.594-1.722-1.626-1.796-1.75-1.734-1.702-1.762+5.912+1.382+1.526+0.962+1.178-2.852+0.748+0.798+1.316+1.62+1.666+1.668-0.798-1.704-1.45-1.382-1.62-1.666+1.45-1.316-1.668-1.178-0.962-1.804-0.748+0.12-6.466+0.081-0.972-1.526+0.972-1.686-0.972+0.92+1.728+1.782-1.728-1.57+1.746+1.674-1.746-1.782-1.674+5.69+4.285+4.31+3.72+1.885+2.785+1.445+1.895+1.915-2.84-1.445-0.715-0.73-1.885-4.285-1.405-1.895-1.915-0.805-1.445-0.634+0.019-1.445-1.86+16.32-5.468-0.116-5.285-1.89+10.935+8.779-0.004+1.711+3.53+3.62-1.84-1.825-5.465-0.31-1.711-0.031-1.83-1.805-3.46-1.795+1.685</f>
        <v>19.309999999999977</v>
      </c>
      <c r="F816" s="25">
        <v>158500</v>
      </c>
    </row>
    <row r="817" spans="1:6">
      <c r="A817"/>
      <c r="B817" s="30" t="s">
        <v>234</v>
      </c>
      <c r="C817" s="30" t="s">
        <v>599</v>
      </c>
      <c r="D817" s="30" t="s">
        <v>233</v>
      </c>
      <c r="E817" s="53">
        <f>5.91+3.528-3.528-1.633+1.748+1.754+1.648+1.524-1.648+1.686+1.552+1.65+1.666+1.696+1.662+1.73+1.456+1.336-1.696-1.73+1.596-1.754-1.524-1.552-1.65-1.666-1.748-4.291-1.686-1.662-1.456-1.336+0.014-1.6+0.004+1.052+1.086+0.96+0.96-1.052-1.086-0.96+1.708+1.742+1.144+0.886+1.722+1.77+1.776+1.772+1.784+1.75+1.554+1.504+1.706-1.708-1.742-1.75-0.96-1.144-1.706-1.504-1.77-1.776-1.772-1.784-1.554-0.886-1.722+3.404+8.482-1.648-1.752-1.652-1.73-1.746-1.664-1.694+1.754+1.788+1.742+10.762-10.648-1.786-1.796-1.816+3.293+7.062+3.484+1.734+1.79-1.71-15.653</f>
        <v>0</v>
      </c>
      <c r="F817" s="25">
        <v>172000</v>
      </c>
    </row>
    <row r="818" spans="1:6">
      <c r="A818"/>
      <c r="B818" s="30">
        <v>20</v>
      </c>
      <c r="C818" s="30" t="s">
        <v>600</v>
      </c>
      <c r="D818" s="30" t="s">
        <v>233</v>
      </c>
      <c r="E818" s="53">
        <f>4.155+4.181-4.13-0.051+2.91-4.155-1.318+9.72-1.95+11.218-1.88-1.88-1.93-1.89-1.953</f>
        <v>11.047000000000004</v>
      </c>
      <c r="F818" s="25">
        <v>158500</v>
      </c>
    </row>
    <row r="819" spans="1:6">
      <c r="A819"/>
      <c r="B819" s="30" t="s">
        <v>234</v>
      </c>
      <c r="C819" s="30" t="s">
        <v>600</v>
      </c>
      <c r="D819" s="30" t="s">
        <v>233</v>
      </c>
      <c r="E819" s="53">
        <f>11.978-1.77-1.62-3.53-1.553-1.78-1.742+0.017+1.746+1.734+1.726+1.748+1.592+1.72+1.524-1.746-1.524-1.748-1.734-1.726+1.754+1.246-1.72+1.552+5.606-1.754-1.592-1.552-3.6-1.426+0.18+1.838+1.814+1.816+1.772+1.788+1.794-1.814-1.816-1.772-1.788+1.81+1.832+1.812</f>
        <v>11.092000000000004</v>
      </c>
      <c r="F819" s="25">
        <v>173000</v>
      </c>
    </row>
    <row r="820" spans="1:6">
      <c r="A820"/>
      <c r="B820" s="30" t="s">
        <v>234</v>
      </c>
      <c r="C820" s="30" t="s">
        <v>921</v>
      </c>
      <c r="D820" s="30" t="s">
        <v>233</v>
      </c>
      <c r="E820" s="53">
        <f>1.523-1.523</f>
        <v>0</v>
      </c>
      <c r="F820" s="25">
        <v>176000</v>
      </c>
    </row>
    <row r="821" spans="1:6">
      <c r="A821"/>
      <c r="B821" s="30">
        <v>20</v>
      </c>
      <c r="C821" s="30" t="s">
        <v>601</v>
      </c>
      <c r="D821" s="30" t="s">
        <v>233</v>
      </c>
      <c r="E821" s="53">
        <f>2.03+2.05-2.065-2.015+2.29+2.275+2.333+4.725+1.61-1.59-1.61-2.305-2.29-2.275-0.028-3.135+1.774+1.592+1.764+1.972-3.366-1.972-1.764+15.6-2.23+11.33-4.495-2.275-4.45-2.236-4.49-2.242-0.1-2.213-0.07-0.01+4.39+6.6-2.205-2.2</f>
        <v>8.7040000000000006</v>
      </c>
      <c r="F821" s="25">
        <v>163500</v>
      </c>
    </row>
    <row r="822" spans="1:6">
      <c r="A822"/>
      <c r="B822" s="30" t="s">
        <v>234</v>
      </c>
      <c r="C822" s="30" t="s">
        <v>601</v>
      </c>
      <c r="D822" s="30" t="s">
        <v>233</v>
      </c>
      <c r="E822" s="53">
        <f>38.042-1.964-2.044-2.006-2.044-2.008-1.934-3.28-1.988-1.838-2.024-1.966-1.95+1.918+1.862+2+2.006+1.974+1.92-1.74-1.77-1.91-0.11-1.808-1.862-2-2.006-3.832-2.064-1.92-1.974-1.68+15.57-0.116-1.996-0.187-1.992-1.944-1.928-1.994-1.774-0.158-1.707-1.774+17.34-1.932-9.61+1.91-1.942+8.102-1.846-2.098+10.372-18.386+7.988+3.68-2.016</f>
        <v>11.562000000000003</v>
      </c>
      <c r="F822" s="25">
        <v>174000</v>
      </c>
    </row>
    <row r="823" spans="1:6">
      <c r="A823"/>
      <c r="B823" s="30" t="s">
        <v>234</v>
      </c>
      <c r="C823" s="30" t="s">
        <v>850</v>
      </c>
      <c r="D823" s="30" t="s">
        <v>233</v>
      </c>
      <c r="E823" s="53">
        <f>1.926+1.706-1.706-1.926</f>
        <v>0</v>
      </c>
      <c r="F823" s="25">
        <v>176000</v>
      </c>
    </row>
    <row r="824" spans="1:6">
      <c r="A824"/>
      <c r="B824" s="30">
        <v>20</v>
      </c>
      <c r="C824" s="30" t="s">
        <v>602</v>
      </c>
      <c r="D824" s="30" t="s">
        <v>233</v>
      </c>
      <c r="E824" s="53">
        <f>0</f>
        <v>0</v>
      </c>
      <c r="F824" s="25">
        <v>159000</v>
      </c>
    </row>
    <row r="825" spans="1:6">
      <c r="A825"/>
      <c r="B825" s="30" t="s">
        <v>234</v>
      </c>
      <c r="C825" s="30" t="s">
        <v>602</v>
      </c>
      <c r="D825" s="30" t="s">
        <v>233</v>
      </c>
      <c r="E825" s="53">
        <f>8.432-2.148-2.17-2.125-2.02+0.031+1.946+1.88+1.786-1.786-1.88-1.964+0.018+1.996+1.948+1.986-1.996-1.948+1.9+1.832-1.832-1.986+1.908-1.908+11.838-1.9-2.06-2.045-3.91+9.118-7.338-1.78+15.13+2.12-2.134-2.132-2.158-2.204+0.001</f>
        <v>12.445999999999998</v>
      </c>
      <c r="F825" s="25">
        <v>176000</v>
      </c>
    </row>
    <row r="826" spans="1:6">
      <c r="A826"/>
      <c r="B826" s="30">
        <v>20</v>
      </c>
      <c r="C826" s="30" t="s">
        <v>603</v>
      </c>
      <c r="D826" s="30" t="s">
        <v>233</v>
      </c>
      <c r="E826" s="53">
        <f>12.036+1.29-1.99-2.018-1.955-1.98-2.05-1.29-2.065+0.022+1.924+2.03+2.004-1.924-2.03-2.004+2.046+1.944+2.04-2.046-1.944-2.04+1.804+1.342+2.046+4.29+2.16+2.165-0.554+2.17-1.492-1.804-2.17-2.16-1.342-2.15-2.14-2.165+11.92-2.385+10.244-2.4-2.08+2.08-2.08-2.085</f>
        <v>13.214000000000002</v>
      </c>
      <c r="F826" s="25">
        <v>159000</v>
      </c>
    </row>
    <row r="827" spans="1:6">
      <c r="A827"/>
      <c r="B827" s="30" t="s">
        <v>234</v>
      </c>
      <c r="C827" s="30" t="s">
        <v>603</v>
      </c>
      <c r="D827" s="30" t="s">
        <v>233</v>
      </c>
      <c r="E827" s="53">
        <f>5.36+4.656-2.252+1.558+1.536-2.12-1.44-1.8-2.404-1.558-1.536+1.94+1.956+1.964+1.95+1.82-1.82-1.95-1.964-1.956-1.94+6.635-2.34-2.383+2.006+2.25+2.076+1.812+2.358+2.095-1.88-0.032-2.358-1.812-2.25-2.095-2.006-2.076+9.66-2.014-1.916-1.942-1.93+1.794+1.978+1.746+2.01+2.15+1.593+1.636-1.593+2.01-1.794-1.978-2.15-7.25</f>
        <v>2.0099999999999945</v>
      </c>
      <c r="F827" s="25">
        <v>182000</v>
      </c>
    </row>
    <row r="828" spans="1:6">
      <c r="A828"/>
      <c r="B828" s="30">
        <v>20</v>
      </c>
      <c r="C828" s="30" t="s">
        <v>604</v>
      </c>
      <c r="D828" s="30" t="s">
        <v>233</v>
      </c>
      <c r="E828" s="53">
        <f>6.866-1.654+2.088-2.065+0.019+2.382-2.382-1.72-1.446+2.375+2.522-2.088+7.198-2.375+2.572-2.522-2.572-2.42+2.026+1.982+2.36+0.02+2.35-2.4-2.002-2.378-2.36-2.35+4.71-2.36+4.68+2.274-2.4-2.28-0.044</f>
        <v>6.605999999999999</v>
      </c>
      <c r="F828" s="25">
        <v>201000</v>
      </c>
    </row>
    <row r="829" spans="1:6">
      <c r="A829"/>
      <c r="B829" s="30" t="s">
        <v>234</v>
      </c>
      <c r="C829" s="30" t="s">
        <v>604</v>
      </c>
      <c r="D829" s="30" t="s">
        <v>233</v>
      </c>
      <c r="E829" s="53">
        <f>7.998-6.038-1.96+2.414+1.94+2.068+2.022+2+2.036-2.414-2.036-2.022-2-2.068+1.934+1.918+1.904-1.918</f>
        <v>5.7780000000000005</v>
      </c>
      <c r="F829" s="25">
        <v>246000</v>
      </c>
    </row>
    <row r="830" spans="1:6">
      <c r="A830"/>
      <c r="B830" s="30">
        <v>20</v>
      </c>
      <c r="C830" s="30" t="s">
        <v>1131</v>
      </c>
      <c r="D830" s="30" t="s">
        <v>233</v>
      </c>
      <c r="E830" s="53">
        <f>9.566+5.836</f>
        <v>15.402000000000001</v>
      </c>
      <c r="F830" s="25">
        <v>201000</v>
      </c>
    </row>
    <row r="831" spans="1:6">
      <c r="A831"/>
      <c r="B831" s="30">
        <v>20</v>
      </c>
      <c r="C831" s="30" t="s">
        <v>605</v>
      </c>
      <c r="D831" s="30" t="s">
        <v>233</v>
      </c>
      <c r="E831" s="53">
        <f>9.604+4.218-2.16+2.03-2.03-2.06+0.002-2.425-2.39-4.789+2.62+1.9+1.805+2.521+2.567-1.9-1.805-2.62+1.9+1.805+2.62-2.62-1.9-1.805-2.475-0.046+2.34+2.335+4.685+2.33+2.31-2.335-2.33+2.46+2.465-2.46-4.685-2.31-2.495-0.072-2.34-2.465+15.148-3.035-3.028-3.025-3.054+12.03-3.028+0.022-2.41-4.81-2.405-2.405</f>
        <v>-3.5527136788005009E-15</v>
      </c>
      <c r="F831" s="25">
        <v>201000</v>
      </c>
    </row>
    <row r="832" spans="1:6">
      <c r="A832"/>
      <c r="B832" s="30" t="s">
        <v>234</v>
      </c>
      <c r="C832" s="30" t="s">
        <v>605</v>
      </c>
      <c r="D832" s="30" t="s">
        <v>233</v>
      </c>
      <c r="E832" s="53">
        <f>12.007-2.11-2.125-2.005+2.168+2.146+2.226-1.718-2.168-2.142+2.384+1.76+2.108+2.254-2.108-2.254-0.062-2.055-0.004-2.226-1.76-2.384-1.932-0.038+0.038+5.376-2.812+1.646+2.264+2.076-1.646-2.264-2.076+2.03+1.904+1.9+2+1.368-2.564-2.03-1.9+3.062+2.982-1.368-3.062-2.982+5.446</f>
        <v>9.3500000000000014</v>
      </c>
      <c r="F832" s="25">
        <v>246000</v>
      </c>
    </row>
    <row r="833" spans="1:6">
      <c r="A833"/>
      <c r="B833" s="30" t="s">
        <v>234</v>
      </c>
      <c r="C833" s="30" t="s">
        <v>897</v>
      </c>
      <c r="D833" s="30" t="s">
        <v>233</v>
      </c>
      <c r="E833" s="53">
        <f>2.236+2.158+2.236-2.236-2.236+2.774+2.754-2.754-2.774</f>
        <v>2.1580000000000004</v>
      </c>
      <c r="F833" s="25">
        <v>246000</v>
      </c>
    </row>
    <row r="834" spans="1:6">
      <c r="A834"/>
      <c r="B834" s="30">
        <v>20</v>
      </c>
      <c r="C834" s="30" t="s">
        <v>606</v>
      </c>
      <c r="D834" s="30" t="s">
        <v>233</v>
      </c>
      <c r="E834" s="53">
        <f>8.154+1.872+4.266-1.872-2.124-2.142-2.705+3.09+3.076-3.076-5.449-3.09+2.84-2.84+2.842+2.872-2.872+3.05+3.065+6.125+3.07+3.05-3.065-3.05-3.05-2.842-3.07+12.146-3.045-6.153-3.05-2.968+0.02</f>
        <v>3.0750000000000006</v>
      </c>
      <c r="F834" s="25">
        <v>201000</v>
      </c>
    </row>
    <row r="835" spans="1:6">
      <c r="A835"/>
      <c r="B835" s="30" t="s">
        <v>234</v>
      </c>
      <c r="C835" s="30" t="s">
        <v>606</v>
      </c>
      <c r="D835" s="30" t="s">
        <v>233</v>
      </c>
      <c r="E835" s="53">
        <f>2.03+1.93+1.92+1.442-2.03-1.93-1.92+2.192+2.058+2.068+2.102+2.026+2.09-1.442-2.192-2.068-2.026-2.058-2.09-2.102+2.034+2.016-2.016+2.076+1.852+1.63+1.936+1.794-2.076-1.63+5.978-1.794-1.976-2.034-1.852-1.936-4.002+12.058-2.086</f>
        <v>9.9720000000000013</v>
      </c>
      <c r="F835" s="25">
        <v>246000</v>
      </c>
    </row>
    <row r="836" spans="1:6">
      <c r="A836"/>
      <c r="B836" s="30">
        <v>20</v>
      </c>
      <c r="C836" s="30" t="s">
        <v>607</v>
      </c>
      <c r="D836" s="30" t="s">
        <v>233</v>
      </c>
      <c r="E836" s="53">
        <f>9.09+6.464-2.134-2.164-6.06-2.166-3.03+3.155+3.132+3.046-3.155+2.445+2.43+3.15+0.054-2.43-0.054-2.445-3.15-3.046-3.132+10.022-2.502-2.508-2.507-2.505+11.624-2.935-8.689+10.926</f>
        <v>10.926000000000002</v>
      </c>
      <c r="F836" s="25">
        <v>219000</v>
      </c>
    </row>
    <row r="837" spans="1:6">
      <c r="A837"/>
      <c r="B837" s="30" t="s">
        <v>234</v>
      </c>
      <c r="C837" s="30" t="s">
        <v>607</v>
      </c>
      <c r="D837" s="30" t="s">
        <v>233</v>
      </c>
      <c r="E837" s="53">
        <f>1.952-1.952+2.128+2.1+2.126+2.068+2.04-2.128-2.1-2.126-2.04-2.068+2.164+2.168+2.156+2.153-2.156-2.168-2.164-2.153+9.365-2.038-3.07-1.967+9.478-1.836-2.29-7.642+10.034-1.99</f>
        <v>8.0440000000000005</v>
      </c>
      <c r="F837" s="25">
        <v>246000</v>
      </c>
    </row>
    <row r="838" spans="1:6">
      <c r="A838"/>
      <c r="B838" s="30">
        <v>20</v>
      </c>
      <c r="C838" s="30" t="s">
        <v>608</v>
      </c>
      <c r="D838" s="30" t="s">
        <v>233</v>
      </c>
      <c r="E838" s="53">
        <f>9.315+3.155+3.142-3.075+3.18+3.13-3.18-3.13-3.155-3.142-3.11-3.13+9.235-3.128-3.138-2.969+2.761+2.761+2.761+2.76+14.664-2.933-2.957-2.933-0.001-2.92-0.046-2.761-2.874+21.2-2.76-3.04-2.761-0.019-3.02-3.09</f>
        <v>14.792000000000005</v>
      </c>
      <c r="F838" s="25">
        <v>219000</v>
      </c>
    </row>
    <row r="839" spans="1:6">
      <c r="A839"/>
      <c r="B839" s="30" t="s">
        <v>234</v>
      </c>
      <c r="C839" s="30" t="s">
        <v>608</v>
      </c>
      <c r="D839" s="30" t="s">
        <v>233</v>
      </c>
      <c r="E839" s="53">
        <f>2.01+2.076+1.972+2.192-2.192-2.01-2.076-1.972+2.738+2.058+2.12+1.884-2.738-2.058-2.12-1.884+10.828+2.241+2.241-2.157-2.241-2.241+1.626+3.982-1.626-3.982+5.668</f>
        <v>14.338999999999999</v>
      </c>
      <c r="F839" s="25">
        <v>246000</v>
      </c>
    </row>
    <row r="840" spans="1:6">
      <c r="A840"/>
      <c r="B840" s="30">
        <v>20</v>
      </c>
      <c r="C840" s="30" t="s">
        <v>813</v>
      </c>
      <c r="D840" s="30" t="s">
        <v>233</v>
      </c>
      <c r="E840" s="53">
        <f>3.108+2.198+2.096+2.26-2.096-2.26-2.198-3.108+3.015+2.97+3.12-3.015-2.97-3.12+3.1+3.08+3.115+3.105+3.125-3.105-3.1-3.08-3.115-3.125+3.067+3.067+3.066-2.96+12.493-0.107-3.067-0.006</f>
        <v>15.553000000000001</v>
      </c>
      <c r="F840" s="25">
        <v>219000</v>
      </c>
    </row>
    <row r="841" spans="1:6">
      <c r="A841"/>
      <c r="B841" s="30" t="s">
        <v>234</v>
      </c>
      <c r="C841" s="30" t="s">
        <v>813</v>
      </c>
      <c r="D841" s="30" t="s">
        <v>233</v>
      </c>
      <c r="E841" s="53">
        <f>1.98+1.994+1.958+1.862+1.93+1.998-1.994-1.998-1.93-1.98-1.958-1.862+2.026+1.848+2.014+2.042+1.972+2.06-2.026+2.186+2.212+2.158+2.184+2.066-1.848-2.014-2.042-1.972-2.186-2.212-2.158-2.184-2.066+15.244-2.224-2.18-2.144-2.21</f>
        <v>8.5460000000000029</v>
      </c>
      <c r="F841" s="25">
        <v>246000</v>
      </c>
    </row>
    <row r="842" spans="1:6">
      <c r="A842"/>
      <c r="B842" s="30">
        <v>20</v>
      </c>
      <c r="C842" s="30" t="s">
        <v>814</v>
      </c>
      <c r="D842" s="30" t="s">
        <v>233</v>
      </c>
      <c r="E842" s="53">
        <f>2.68-2.79+0.11+1.998+2.112+2.024-2.112-2.024-1.998+1.97+2.145+2.07-2.145-2.07-1.97+3.025+3.05+6.07+6.1-3.05-3.025-6.1+6.26+6.265-6.07-3.14</f>
        <v>9.384999999999998</v>
      </c>
      <c r="F842" s="25">
        <v>219000</v>
      </c>
    </row>
    <row r="843" spans="1:6">
      <c r="A843"/>
      <c r="B843" s="30" t="s">
        <v>234</v>
      </c>
      <c r="C843" s="30" t="s">
        <v>814</v>
      </c>
      <c r="D843" s="30" t="s">
        <v>233</v>
      </c>
      <c r="E843" s="53">
        <f>2.086+2.116+2.082-2.082-2.086-2.116+2.74+2.658+2.758+2.094+2.08+2.058+2.2</f>
        <v>16.587999999999997</v>
      </c>
      <c r="F843" s="25">
        <v>246000</v>
      </c>
    </row>
    <row r="844" spans="1:6">
      <c r="A844"/>
      <c r="B844" s="30">
        <v>20</v>
      </c>
      <c r="C844" s="30" t="s">
        <v>946</v>
      </c>
      <c r="D844" s="30" t="s">
        <v>233</v>
      </c>
      <c r="E844" s="53">
        <f>3.055-3.055+6.21</f>
        <v>6.21</v>
      </c>
      <c r="F844" s="25">
        <v>219000</v>
      </c>
    </row>
    <row r="845" spans="1:6">
      <c r="A845"/>
      <c r="B845" s="30">
        <v>20</v>
      </c>
      <c r="C845" s="30" t="s">
        <v>609</v>
      </c>
      <c r="D845" s="30" t="s">
        <v>233</v>
      </c>
      <c r="E845" s="53">
        <f>6.348-0.78-4+5.094+5.978-0.854-0.86-0.878-0.848-0.874-0.83-2.51-1.678-0.002+4.042-0.87+2.398-0.8-1.715-0.8-0.023-0.781-0.782-0.85+0.8-1.592+0.016-0.816-0.73-0.826+0.023+0.83+0.836+0.832+0.814+0.764+0.76+1.632+7.08+8.85-0.83-0.836-0.832-0.814-0.78-1.746+0.636-1.738-0.86+0.008-0.764-4.447-0.76-0.9-1.8-0.905-0.636+10.404-0.028-14.77+9.676+0.7+5.07+5.52-5.07-9.676-0.7-5.52+16.522+13.922-0.88-0.88-3.51-1.76-4.38-0.87</f>
        <v>18.164000000000005</v>
      </c>
      <c r="F845" s="25">
        <v>161000</v>
      </c>
    </row>
    <row r="846" spans="1:6">
      <c r="A846"/>
      <c r="B846" s="30" t="s">
        <v>234</v>
      </c>
      <c r="C846" s="30" t="s">
        <v>609</v>
      </c>
      <c r="D846" s="30" t="s">
        <v>233</v>
      </c>
      <c r="E846" s="53">
        <f>8.614+1.542-0.755-0.81-2.346-0.82+2.327-0.736-0.758-0.148-4.722-0.787+0.084-0.049-0.636+0.73+0.71+0.678+0.834+0.7+0.82+0.638+0.726-0.82-0.726+0.724+0.812+0.73+0.742-0.71-0.678-0.834+0.728+0.796-0.724-0.812-0.73-0.742-0.728-0.796+0.628+0.816+0.648+0.682+0.834-0.648-0.682+0.91-0.834+0.77-0.91+2.544+1.514+0.828-0.046+0.734-0.73-0.77-2.544-1.514-0.734-0.7-0.638-0.816-0.628-0.785+0.003+0.785+4.89+4.13-2.444+0.77+0.636+0.74-8.722-0.785+0.808-0.808+6.82+5.676+0.654-3.154+8.116</f>
        <v>18.112000000000002</v>
      </c>
      <c r="F846" s="25">
        <v>176000</v>
      </c>
    </row>
    <row r="847" spans="1:6">
      <c r="A847"/>
      <c r="B847" s="30">
        <v>20</v>
      </c>
      <c r="C847" s="30" t="s">
        <v>610</v>
      </c>
      <c r="D847" s="30" t="s">
        <v>233</v>
      </c>
      <c r="E847" s="53">
        <f>1.691+0.818+0.802+0.816+0.8+0.798+0.842+5.302-0.984+0.029-4.205-1.05-0.047+0.82+4.636+0.892-0.82-0.958-0.936-0.914-0.92-0.908-0.736-0.818-0.802-0.816-0.8-0.798-0.842-0.892+6.544+0.896+0.964-0.964-0.896-6.544+0.824-0.824+0.874+0.896+1+0.876+8.694-1.75+5.796-0.896-1.935-1-0.985-5.795-0.965+0.021+0.784-1.925-0.97+9.904-2.965-2.995-1.005+0.694-0.99+3.288-1.95-2+0.051+0.014-0.694+5.692-3.83-3.288-0.92+1.91+12.61-0.942-0.784+7.644+11.39-4.81-5.7-2.86-0.94-0.965</f>
        <v>18.279000000000003</v>
      </c>
      <c r="F847" s="25">
        <v>163000</v>
      </c>
    </row>
    <row r="848" spans="1:6">
      <c r="A848"/>
      <c r="B848" s="30" t="s">
        <v>234</v>
      </c>
      <c r="C848" s="30" t="s">
        <v>610</v>
      </c>
      <c r="D848" s="30" t="s">
        <v>233</v>
      </c>
      <c r="E848" s="53">
        <f>5.462-1.84-1.76-0.935+4.364-0.93-4.364+0.003+0.818+0.862+0.906+0.85+0.92+2.434-0.862-0.906-0.85-0.92-2.434+2.322+0.784-0.75+0.894+0.808+0.858+0.92+0.892+0.934+0.944+0.9+0.9+0.868+0.914+0.838+0.876+0.892+0.946-0.944-0.92-0.868-0.914-0.838-0.876-0.892-0.946-0.784-8.576+0.742+3.416-0.742+4.664-0.88-2.762+3.946-0.932</f>
        <v>7.4520000000000017</v>
      </c>
      <c r="F848" s="25">
        <v>176000</v>
      </c>
    </row>
    <row r="849" spans="1:6">
      <c r="A849"/>
      <c r="B849" s="30">
        <v>20</v>
      </c>
      <c r="C849" s="30" t="s">
        <v>611</v>
      </c>
      <c r="D849" s="30" t="s">
        <v>233</v>
      </c>
      <c r="E849" s="53">
        <f>7.012-1.235-1.205-1.233-1.219-1.044-1.106+0.03+5.995-2.405-1.2+1.186+1.188+1.194+1.242-1.188+10.73-1.242+1.242-2.428-1.194-2.39-2.41-2.44-5.93+0.05+4.545+5.715</f>
        <v>10.260000000000002</v>
      </c>
      <c r="F849" s="25">
        <v>161000</v>
      </c>
    </row>
    <row r="850" spans="1:6">
      <c r="A850"/>
      <c r="B850" s="30" t="s">
        <v>234</v>
      </c>
      <c r="C850" s="30" t="s">
        <v>611</v>
      </c>
      <c r="D850" s="30" t="s">
        <v>233</v>
      </c>
      <c r="E850" s="53">
        <f>5.145-3.972+1.16+1.12+1.206+1.152+1.222-1.173-1.16-1.222-1.197-1.12-1.206-1.152+0.024+1.173+1.264+1.2+1.22+1.176+1.25+1.198+1.23+1.178-1.264-1.2-1.22-1.176-1.25-1.198-1.23-1.178+1.088+1.2+1.072+1.156+1.192+1.19+1.18+1.194-1.088-1.2-1.072+1.242+1.134+1.054+0.868-1.19-1.18+3.03-1.242-1.054-1.134-1.194-1.036+5.16-10.37+10.29-1.07-2.036</f>
        <v>7.1839999999999993</v>
      </c>
      <c r="F850" s="25">
        <v>176000</v>
      </c>
    </row>
    <row r="851" spans="1:6">
      <c r="A851"/>
      <c r="B851" s="30">
        <v>20</v>
      </c>
      <c r="C851" s="30" t="s">
        <v>612</v>
      </c>
      <c r="D851" s="30" t="s">
        <v>233</v>
      </c>
      <c r="E851" s="53">
        <f>2.75+1.39+2.798-2.75-1.39-2.75-0.048+4.12+1.375+1.375-1.375-1.375-1.395-2.75+0.025+10.931-1.37-1.4-2.733-1.407-1.315-1.333-0.01-0.012+5.494-2.755</f>
        <v>4.089999999999999</v>
      </c>
      <c r="F851" s="25">
        <v>161000</v>
      </c>
    </row>
    <row r="852" spans="1:6">
      <c r="A852"/>
      <c r="B852" s="30" t="s">
        <v>234</v>
      </c>
      <c r="C852" s="30" t="s">
        <v>612</v>
      </c>
      <c r="D852" s="30" t="s">
        <v>233</v>
      </c>
      <c r="E852" s="53">
        <f>5.552+1.344-1.376-1.412-1.326-1.438-1.344+1.39+1.332+1.314+1.28+1.432+1.31+1.298+1.37-1.37-1.432-1.31-1.298-1.39-1.332-1.314-1.28+1.42+1.35+1.372+1.378+1.408+1.364+1.422+1.33+1.248+1.372+1.322+1.374+1.382+1.32+1.272-1.382-1.374-1.32-1.272-1.33-1.248-1.322-1.364-1.422-1.408-1.372-1.378-0.125+4.946-7.668-1.298+0.003+11.03</f>
        <v>11.029999999999992</v>
      </c>
      <c r="F852" s="25">
        <v>176000</v>
      </c>
    </row>
    <row r="853" spans="1:6">
      <c r="A853"/>
      <c r="B853" s="30">
        <v>20</v>
      </c>
      <c r="C853" s="30" t="s">
        <v>613</v>
      </c>
      <c r="D853" s="30" t="s">
        <v>233</v>
      </c>
      <c r="E853" s="53">
        <f>5.916-4.42+1.346+1.364+1.352+1.324-1.324-0.006-1.358-1.352-0.006-1.34-1.37+1.555-0.033+1.58+1.59-1.59-1.555-1.58-0.093+3.11+1.362+1.366+1.396+1.362-1.396-1.366-1.362-1.362+11.002-1.58-1.57-1.58</f>
        <v>9.3819999999999997</v>
      </c>
      <c r="F853" s="25">
        <v>161000</v>
      </c>
    </row>
    <row r="854" spans="1:6">
      <c r="A854"/>
      <c r="B854" s="30" t="s">
        <v>234</v>
      </c>
      <c r="C854" s="30" t="s">
        <v>613</v>
      </c>
      <c r="D854" s="30" t="s">
        <v>233</v>
      </c>
      <c r="E854" s="53">
        <f>5.09-1.33-1.52-1.22+1.098+1.354+1.354+1.322+1.366+1.338-1.354-1.354-1.322-1.366-1.338-1.02-1.098+1.368+1.374+1.332+1.35+1.376+1.3+1.398+1.142-1.368-1.374-1.3-1.398-1.142-1.332-1.35-1.376+1.264+1.364+1.384+1.304+1.412+1.354-1.412-1.264-1.364-1.384-1.304+1.36+1.122+1.25+1.302+1.462-1.122-1.25-1.462-1.36-1.302-1.354</f>
        <v>0</v>
      </c>
      <c r="F854" s="25">
        <v>176000</v>
      </c>
    </row>
    <row r="855" spans="1:6">
      <c r="A855"/>
      <c r="B855" s="30">
        <v>20</v>
      </c>
      <c r="C855" s="30" t="s">
        <v>941</v>
      </c>
      <c r="D855" s="30" t="s">
        <v>233</v>
      </c>
      <c r="E855" s="53">
        <f>1.805+3.669-3.625-0.044-1.805+3.575+1.35+1.352+1.368+1.39+1.28+1.432-1.368+1.79-1.39-1.28-1.35-3.575-1.79-1.432-1.352+10.86-1.81-3.625-3.62-1.805+10.88-3.645+1.456+1.524+1.522-3.615-3.65+0.03-1.524-1.522+10.716-5.37-3.66-1.75+0.064-1.456+5.309+5.309</f>
        <v>10.617999999999999</v>
      </c>
      <c r="F855" s="25">
        <v>161000</v>
      </c>
    </row>
    <row r="856" spans="1:6">
      <c r="A856"/>
      <c r="B856" s="30">
        <v>20</v>
      </c>
      <c r="C856" s="30" t="s">
        <v>614</v>
      </c>
      <c r="D856" s="30" t="s">
        <v>233</v>
      </c>
      <c r="E856" s="53">
        <f>12.418-1.464-1.354+1.89+1.905+1.955-2.792+0.012-1.355-2.859-2.645+0.051-3.842-1.92+2.012+2.004+1.99-2.004-1.99-2.013+0.001+1.506+1.348+1.3+1.368+1.342+1.334+1.362+1.314-1.506-1.368-1.362-1.348+2.055+2.025+2.06+2.082-1.314-1.342-1.3-2.055-2.025-2.082-1.334-2.06+3.99+6.005+2.045-6.005-2.045+4.085-1.99-2+4.1+6.14+5.98-2.05-2.02-4.12-3.98+9.535-2.06+0.06+10.19-2.04-1.91-1.925</f>
        <v>19.984999999999999</v>
      </c>
      <c r="F856" s="25">
        <v>161000</v>
      </c>
    </row>
    <row r="857" spans="1:6">
      <c r="A857"/>
      <c r="B857" s="30" t="s">
        <v>234</v>
      </c>
      <c r="C857" s="30" t="s">
        <v>614</v>
      </c>
      <c r="D857" s="30" t="s">
        <v>233</v>
      </c>
      <c r="E857" s="53">
        <f>5.262-2.664-2.598+1.954+1.852+1.94+1.982-1.852-1.94-1.982-1.954+1.94+1.976+2.028+1.956+1.936+2.066-2.066-2.028-1.956-1.936-1.94-1.976+1.932+1.948+1.858-1.932-1.948-1.858+1.916+1.976+1.95+1.936+1.954+1.95+1.942+1.954+1.976+1.984+1.976+2.018-1.954+1.988-15.688-1.942-1.976-1.984-1.976+15.102+4.23-3.936-1.962-1.942-1.946-1.746-1.174-1.664</f>
        <v>4.9619999999999944</v>
      </c>
      <c r="F857" s="25">
        <v>176000</v>
      </c>
    </row>
    <row r="858" spans="1:6">
      <c r="A858"/>
      <c r="B858" s="30">
        <v>20</v>
      </c>
      <c r="C858" s="30" t="s">
        <v>615</v>
      </c>
      <c r="D858" s="30" t="s">
        <v>233</v>
      </c>
      <c r="E858" s="53">
        <f>3.42+7.045-0.1+0.05-1.69-0.204-3.515</f>
        <v>5.0060000000000002</v>
      </c>
      <c r="F858" s="25">
        <v>161000</v>
      </c>
    </row>
    <row r="859" spans="1:6">
      <c r="A859"/>
      <c r="B859" s="30" t="s">
        <v>234</v>
      </c>
      <c r="C859" s="30" t="s">
        <v>615</v>
      </c>
      <c r="D859" s="30" t="s">
        <v>233</v>
      </c>
      <c r="E859" s="53">
        <f>2.058+1.964+1.978-2.058-1.978+1.908-1.964+1.932+1.82-1.908+1.888+1.832+1.772</f>
        <v>9.2439999999999998</v>
      </c>
      <c r="F859" s="25">
        <v>176000</v>
      </c>
    </row>
    <row r="860" spans="1:6">
      <c r="A860"/>
      <c r="B860" s="30">
        <v>20</v>
      </c>
      <c r="C860" s="30" t="s">
        <v>616</v>
      </c>
      <c r="D860" s="30" t="s">
        <v>233</v>
      </c>
      <c r="E860" s="53">
        <f>18.318+4.736-9-2.395-2.382-2.316+2.37+2.394+2.29+2.04+2.006+2.062-2.37-2.394-2.006-2.04-2.29-0.59-2.062-1.951-2.114+0.035+4.08-2.4+0.059+2.092-2.065+4.242+2.06+4.21-2.15-2.136-2.074-2.05-0.042-2.06-2.065-0.027+11.422-2.295-2.285+7.18+4.792-4.53-2.405-4.8-2.28-0.032-2.387-0.003+12.125-2.377-0.008-2.055+0.048-4.85</f>
        <v>7.2750000000000057</v>
      </c>
      <c r="F860" s="25">
        <v>161000</v>
      </c>
    </row>
    <row r="861" spans="1:6">
      <c r="A861"/>
      <c r="B861" s="30" t="s">
        <v>234</v>
      </c>
      <c r="C861" s="30" t="s">
        <v>616</v>
      </c>
      <c r="D861" s="30" t="s">
        <v>233</v>
      </c>
      <c r="E861" s="53">
        <f>2.223+2.372+2.4-2.378-2.223-2.372-0.028+0.006+2.396-2.396+4.902+2.036+2.384+2.104+2.08+2.238-2.384-2.24+0.002-2.036-4.902-2.104-2.08+2.394+2.36+2.382+2.444+2.328+2.466+2.454-2.394-2.382-2.444-2.328-2.454-2.36-2.466+2.311+2.36+2.448-2.448-0.605-2.311+1.904+1.89+2.376-1.904-0.297+2.206+2.208+2.11+2.1+1.824-1.89-1.824</f>
        <v>12.458</v>
      </c>
      <c r="F861" s="25">
        <v>176000</v>
      </c>
    </row>
    <row r="862" spans="1:6">
      <c r="A862"/>
      <c r="B862" s="30">
        <v>20</v>
      </c>
      <c r="C862" s="30" t="s">
        <v>617</v>
      </c>
      <c r="D862" s="30" t="s">
        <v>233</v>
      </c>
      <c r="E862" s="53">
        <f>2.353-2.37+0.017+4.82+7.215</f>
        <v>12.035</v>
      </c>
      <c r="F862" s="25">
        <v>171000</v>
      </c>
    </row>
    <row r="863" spans="1:6">
      <c r="A863"/>
      <c r="B863" s="30" t="s">
        <v>234</v>
      </c>
      <c r="C863" s="30" t="s">
        <v>617</v>
      </c>
      <c r="D863" s="30" t="s">
        <v>233</v>
      </c>
      <c r="E863" s="53">
        <f>2.464+2.582+2.596-2.464-2.582-2.596+2.63+2.438-2.63</f>
        <v>2.4379999999999997</v>
      </c>
      <c r="F863" s="25">
        <v>179000</v>
      </c>
    </row>
    <row r="864" spans="1:6">
      <c r="A864"/>
      <c r="B864" s="30">
        <v>20</v>
      </c>
      <c r="C864" s="30" t="s">
        <v>618</v>
      </c>
      <c r="D864" s="30" t="s">
        <v>233</v>
      </c>
      <c r="E864" s="53">
        <f>4.668-2.685+2.53+2.598+2.71-2.598-2.71-2.53-1.985+0.002+2.788+2.798-2.798-2.788+2.74+2.64+2.758+2.43+2.4-2.64-2.758-2.74-2.43-2.4+2.706+2.708+2.668+4.79+4.78-2.708-2.706-2.668-2.395-0.53-1.855+1.755+7.185-0.105</f>
        <v>13.625</v>
      </c>
      <c r="F864" s="25">
        <v>186000</v>
      </c>
    </row>
    <row r="865" spans="1:6">
      <c r="A865"/>
      <c r="B865" s="30" t="s">
        <v>234</v>
      </c>
      <c r="C865" s="30" t="s">
        <v>618</v>
      </c>
      <c r="D865" s="30" t="s">
        <v>233</v>
      </c>
      <c r="E865" s="53">
        <f>5.262-2.496-2.766+2.748+2.698+2.766+2.784-2.766-2.748-2.698-2.784+2.646+2.594+2.658+2.696+2.614+2.534+2.602+2.662-2.646-2.696-2.662-2.658-2.534-2.602-2.594-2.614+2.638+2.574+1.868-2.574+2.838+2.882+2.712+2.736-2.882-2.838-2.712-2.736+2.636+2.758-2.638+2.624+2.664-2.636-2.758-2.624-2.664+2.756+2.786+2.796+2.818+2.772-1.868-2.756-2.772-2.786-2.796-2.818+2.804+2.818+2.796+2.77+2.738-2.818</f>
        <v>11.107999999999997</v>
      </c>
      <c r="F865" s="25">
        <v>195000</v>
      </c>
    </row>
    <row r="866" spans="1:6">
      <c r="A866"/>
      <c r="B866" s="30">
        <v>20</v>
      </c>
      <c r="C866" s="30" t="s">
        <v>619</v>
      </c>
      <c r="D866" s="30" t="s">
        <v>233</v>
      </c>
      <c r="E866" s="53">
        <f>15.688-2.785-2.698+0.005-5.1-5.12+0.01+2.565-2.565+2.572+2.42+2.4+2.42+2.425+2.42-2.42-2.4</f>
        <v>9.8370000000000015</v>
      </c>
      <c r="F866" s="25">
        <v>219000</v>
      </c>
    </row>
    <row r="867" spans="1:6">
      <c r="A867"/>
      <c r="B867" s="30" t="s">
        <v>234</v>
      </c>
      <c r="C867" s="30" t="s">
        <v>619</v>
      </c>
      <c r="D867" s="30" t="s">
        <v>233</v>
      </c>
      <c r="E867" s="53">
        <f>2.504+2.338+2.66-2.66-2.504-2.338+2.56+2.588+2.614-2.614-2.56-2.588+2.712+2.704</f>
        <v>5.4160000000000004</v>
      </c>
      <c r="F867" s="25">
        <v>252000</v>
      </c>
    </row>
    <row r="868" spans="1:6">
      <c r="A868"/>
      <c r="B868" s="30">
        <v>20</v>
      </c>
      <c r="C868" s="30" t="s">
        <v>1023</v>
      </c>
      <c r="D868" s="30" t="s">
        <v>233</v>
      </c>
      <c r="E868" s="53">
        <f>10.984-2.745-2.755-2.745+6.15-3.095</f>
        <v>5.7940000000000005</v>
      </c>
      <c r="F868" s="25">
        <v>219000</v>
      </c>
    </row>
    <row r="869" spans="1:6">
      <c r="A869"/>
      <c r="B869" s="30">
        <v>20</v>
      </c>
      <c r="C869" s="30" t="s">
        <v>620</v>
      </c>
      <c r="D869" s="30" t="s">
        <v>233</v>
      </c>
      <c r="E869" s="53">
        <f>8.35-2.825-5.535+0.01+2.564-2.564+2.752-2.752+2.86+2.7+2.768-2.86-2.69-0.078+2.35+2.401-2.36-0.041-0.004-2.35+0.004+2.702-0.3+2.87-2.702-2.87-2.415+0.015</f>
        <v>1.2073675392798577E-15</v>
      </c>
      <c r="F869" s="25">
        <v>219000</v>
      </c>
    </row>
    <row r="870" spans="1:6">
      <c r="A870"/>
      <c r="B870" s="30" t="s">
        <v>234</v>
      </c>
      <c r="C870" s="30" t="s">
        <v>620</v>
      </c>
      <c r="D870" s="30" t="s">
        <v>233</v>
      </c>
      <c r="E870" s="53">
        <f>2.212+2.35+2.326+2.336+5.318-5.318-2.336-2.212-2.35-0.114+1.99+2.908+2.722+2.73+2.706+2.56-2.212-1.99-2.722-2.56-2.73-2.706-2.908+2.972+2.97+2.724+2.464+2.572-2.97-2.972-2.464-2.572-2.724+2.784+2.86+2.846+2.788+2.628-2.86-2.846-2.788</f>
        <v>5.4120000000000008</v>
      </c>
      <c r="F870" s="25">
        <v>252000</v>
      </c>
    </row>
    <row r="871" spans="1:6">
      <c r="A871"/>
      <c r="B871" s="30">
        <v>20</v>
      </c>
      <c r="C871" s="30" t="s">
        <v>621</v>
      </c>
      <c r="D871" s="30" t="s">
        <v>233</v>
      </c>
      <c r="E871" s="53">
        <f>5.84-2.91+5.454-5.47+0.016+2.564+2.534+2.464-2.564-2.534-2.464+3.2+3.265-3.2+2.628-3.265+2.865+2.775+3.135+3.13-2.775-3.135-2.628-3.13-0.032-2.833+12.076-0.112-6.003</f>
        <v>8.891</v>
      </c>
      <c r="F871" s="25">
        <v>219000</v>
      </c>
    </row>
    <row r="872" spans="1:6">
      <c r="A872"/>
      <c r="B872" s="30" t="s">
        <v>234</v>
      </c>
      <c r="C872" s="30" t="s">
        <v>621</v>
      </c>
      <c r="D872" s="30" t="s">
        <v>233</v>
      </c>
      <c r="E872" s="53">
        <f>0.965+2.524+2.434+2.468-2.468-2.524-0.965-2.434+2.89+2.88+2.98+2.936+2.774-2.936-2.88-2.98-2.774+10.97-10.97+11.154-2.988-2.876-2.382-2.89+5.927</f>
        <v>8.8350000000000026</v>
      </c>
      <c r="F872" s="25">
        <v>252000</v>
      </c>
    </row>
    <row r="873" spans="1:6">
      <c r="A873"/>
      <c r="B873" s="30">
        <v>20</v>
      </c>
      <c r="C873" s="30" t="s">
        <v>622</v>
      </c>
      <c r="D873" s="30" t="s">
        <v>233</v>
      </c>
      <c r="E873" s="53">
        <f>6.322+5.608-2.79-0.865-3.16-1.953+2.834+3.175+3.191-3.145-0.017-2.834+2.596-3.175-2.596-3.165-0.026+3.675+3.72+3.24+3.19-3.19-3.24-0.125</f>
        <v>7.27</v>
      </c>
      <c r="F873" s="25">
        <v>219000</v>
      </c>
    </row>
    <row r="874" spans="1:6">
      <c r="A874"/>
      <c r="B874" s="30">
        <v>20</v>
      </c>
      <c r="C874" s="30" t="s">
        <v>623</v>
      </c>
      <c r="D874" s="30" t="s">
        <v>233</v>
      </c>
      <c r="E874" s="53">
        <f>3.122+2.784+2.732-2.732-2.784+3.727-3.122-3.68-0.047+11.172-3.723-3.723+6.216</f>
        <v>9.9420000000000002</v>
      </c>
      <c r="F874" s="25">
        <v>219000</v>
      </c>
    </row>
    <row r="875" spans="1:6">
      <c r="A875"/>
      <c r="B875" s="30" t="s">
        <v>234</v>
      </c>
      <c r="C875" s="30" t="s">
        <v>623</v>
      </c>
      <c r="D875" s="30" t="s">
        <v>233</v>
      </c>
      <c r="E875" s="53">
        <f>2.772+2.754+2.946-0.632-2.314-2.754+6.075-3.076-2.772-2.999+8.628+2.766</f>
        <v>11.394</v>
      </c>
      <c r="F875" s="25">
        <v>252000</v>
      </c>
    </row>
    <row r="876" spans="1:6">
      <c r="A876"/>
      <c r="B876" s="30">
        <v>20</v>
      </c>
      <c r="C876" s="30" t="s">
        <v>834</v>
      </c>
      <c r="D876" s="30" t="s">
        <v>233</v>
      </c>
      <c r="E876" s="53">
        <f>2.722+2.692+2.86-2.86-2.722-2.692+2.99+2.275+2.526-2.526+2.79+2.825+2.867-2.99-2.79-2.825-2.275-2.8-0.067+11.18-7.454-3.726+3.66+3.694+7.391-3.694-7.391-3.66+4.82</f>
        <v>4.8200000000000021</v>
      </c>
      <c r="F876" s="25">
        <v>219000</v>
      </c>
    </row>
    <row r="877" spans="1:6">
      <c r="A877"/>
      <c r="B877" s="30" t="s">
        <v>234</v>
      </c>
      <c r="C877" s="30" t="s">
        <v>834</v>
      </c>
      <c r="D877" s="30" t="s">
        <v>233</v>
      </c>
      <c r="E877" s="53">
        <f>2.656+2.624+2.6+10.794</f>
        <v>18.673999999999999</v>
      </c>
      <c r="F877" s="25">
        <v>252000</v>
      </c>
    </row>
    <row r="878" spans="1:6">
      <c r="A878"/>
      <c r="B878" s="30">
        <v>20</v>
      </c>
      <c r="C878" s="30" t="s">
        <v>851</v>
      </c>
      <c r="D878" s="30" t="s">
        <v>233</v>
      </c>
      <c r="E878" s="53">
        <f>3.682-3.682+3.555+3.675+3.74-3.675</f>
        <v>7.2950000000000008</v>
      </c>
      <c r="F878" s="25">
        <v>219000</v>
      </c>
    </row>
    <row r="879" spans="1:6">
      <c r="A879"/>
      <c r="B879" s="30" t="s">
        <v>234</v>
      </c>
      <c r="C879" s="30" t="s">
        <v>851</v>
      </c>
      <c r="D879" s="30" t="s">
        <v>233</v>
      </c>
      <c r="E879" s="53">
        <f>2.864-2.864+2.874+2.762+2.816</f>
        <v>8.452</v>
      </c>
      <c r="F879" s="25">
        <v>252000</v>
      </c>
    </row>
    <row r="880" spans="1:6">
      <c r="A880"/>
      <c r="B880" s="30">
        <v>20</v>
      </c>
      <c r="C880" s="30" t="s">
        <v>947</v>
      </c>
      <c r="D880" s="30" t="s">
        <v>233</v>
      </c>
      <c r="E880" s="53">
        <f>3.575-0.99</f>
        <v>2.585</v>
      </c>
      <c r="F880" s="25">
        <v>219000</v>
      </c>
    </row>
    <row r="881" spans="1:6">
      <c r="A881"/>
      <c r="B881" s="30">
        <v>20</v>
      </c>
      <c r="C881" s="30" t="s">
        <v>1000</v>
      </c>
      <c r="D881" s="30" t="s">
        <v>233</v>
      </c>
      <c r="E881" s="53">
        <f>9.36+1.81+2.71+2.7+2.7-1.79-1.335-1.32-0.92-0.005-0.032-0.035-0.915-0.01-1.295</f>
        <v>11.622999999999998</v>
      </c>
      <c r="F881" s="25">
        <v>170000</v>
      </c>
    </row>
    <row r="882" spans="1:6">
      <c r="A882"/>
      <c r="B882" s="30">
        <v>20</v>
      </c>
      <c r="C882" s="30" t="s">
        <v>624</v>
      </c>
      <c r="D882" s="30" t="s">
        <v>233</v>
      </c>
      <c r="E882" s="53">
        <f>4.404-1.77+0.032-0.04+4.945-0.988-2-2.626-1.99+0.033+4.694-2.774-0.97+4.425-0.75+9.181-1.88-0.13-1.525-8.775-1.786+1.1+0.01-0.828+0.008+3.005+1.63+3.03+3.015+3.03+2.005+3.025+1.005+1.005+1.005+3.02+3.005-3.005-1.01-1.005-3.03-3.015-2.005-0.015-1.005-1.005-3.022-1.02-1.01-0.035-3.005-2.01+5.986+1.685-1.985+9.876-1-3.908-1.002-0.988+10.856-1.024-1-1.01-1.966-0.988-0.991-0.009-1-0.946-0.064-4.95+10.106-2</f>
        <v>16.260999999999989</v>
      </c>
      <c r="F882" s="25">
        <v>169500</v>
      </c>
    </row>
    <row r="883" spans="1:6">
      <c r="A883"/>
      <c r="B883" s="30" t="s">
        <v>234</v>
      </c>
      <c r="C883" s="30" t="s">
        <v>624</v>
      </c>
      <c r="D883" s="30" t="s">
        <v>233</v>
      </c>
      <c r="E883" s="53">
        <f>7.29-2.82+1.856+0.914+1.817+0.921-1.856-0.914-1.817-0.763-0.945+0.874+0.882+0.808+0.842-1.06+0.902+0.9+0.804-0.9-0.842-0.808-0.88-0.804-0.815-1.795+0.886+0.862+0.952+0.872+0.916+0.952+0.758+0.942+0.854+0.906+0.935+0.955-0.92-0.874-0.008+0.006+0.005-0.862-0.854-0.916-0.952-0.955-0.886-0.935+0.82+9.522-0.872-0.906-0.942+0.97+0.908+0.954+0.884+0.944+0.954+0.944+0.966+0.936+0.864+0.956-0.944-0.954-0.944-1.788-0.94-0.688-0.758-0.956-0.966-0.952-0.916-0.812-0.97-0.884-0.89-0.882-0.908-0.954-0.936-0.864-0.956+0.95+9.288-0.82-4.7+0.996+9.864-0.83-0.95-1.938-4.926</f>
        <v>9.4040000000000106</v>
      </c>
      <c r="F883" s="25">
        <v>175000</v>
      </c>
    </row>
    <row r="884" spans="1:6">
      <c r="A884"/>
      <c r="B884" s="30">
        <v>20</v>
      </c>
      <c r="C884" s="30" t="s">
        <v>192</v>
      </c>
      <c r="D884" s="30" t="s">
        <v>233</v>
      </c>
      <c r="E884" s="53">
        <f>7.508-1.79-1.026-0.844-0.121+1.555-1.6+0.045-2.696+2.696-2.585-0.111-1.031-0.014+0.014+0.772+0.806+0.952+0.876+0.936+0.894+0.86+0.95+0.948+0.75-0.952-0.772-0.806-0.86-0.876-0.936-0.894-0.948-0.95+4.02+1.025-1.04-0.75+0.015+2.02-4.02+0.924+0.886+0.928+0.972+0.746+0.886-0.924-0.886-0.928-1.175-0.972-0.746-0.886+1.99+2.035+5.06+1.05+1.02-0.845-5.06-2.035-1.06+0.01-1.99+0.936+0.914+0.948+0.912+0.928+0.936+0.92+0.92-0.936-0.914-0.934+2.075+14.036+5.024-0.014-0.912-0.928-0.914-0.914-1.975-0.022-0.006-0.92-0.67-1.01-2-1.125-1.02-0.36-10.015+5.502-1.05+0.1-1.02+15.904-5.502-15.904-1.026-0.984+19.67-4.33+9.895-5.515-3.26-10.02-6.565+0.125+5.118</f>
        <v>5.1179999999999941</v>
      </c>
      <c r="F884" s="25">
        <v>169500</v>
      </c>
    </row>
    <row r="885" spans="1:6">
      <c r="A885"/>
      <c r="B885" s="30" t="s">
        <v>234</v>
      </c>
      <c r="C885" s="30" t="s">
        <v>192</v>
      </c>
      <c r="D885" s="30" t="s">
        <v>233</v>
      </c>
      <c r="E885" s="53">
        <f>13.581+0.803+2.563+0.732+0.606+0.559-0.844-0.82-1.622-0.855-4.46+3.03-0.754-0.835-0.87-2.58-0.865-0.005-1.02-3.03-0.895-0.037-1.66+0.094+0.032-0.86+0.057-0.045+4.205+7.428+1.17+0.928+0.922-1.17-1.182-0.928-1.064-1.228-0.932-0.948-1.052-1.04-0.95-1.06+0.009-1.12-0.004-0.922-1.06+0.009-0.011+0.922+0.96+0.964-0.922-0.96-0.964+9.922-0.896-1.074+0.038-7.99+0.8+12.182-1.922-0.884-1.046-2.044-0.906-1.766+3.234-0.87-0.8+2.602-0.86-0.81-0.88</f>
        <v>6.0299999999999985</v>
      </c>
      <c r="F885" s="25">
        <v>175000</v>
      </c>
    </row>
    <row r="886" spans="1:6">
      <c r="A886"/>
      <c r="B886" s="30">
        <v>20</v>
      </c>
      <c r="C886" s="30" t="s">
        <v>625</v>
      </c>
      <c r="D886" s="30" t="s">
        <v>233</v>
      </c>
      <c r="E886" s="53">
        <f>0.938+0.876+0.904+0.886+1.202+1.044+1.225-0.876-0.904-0.886-1.225-0.938-1.202-1.044+1.248+1.286+1.276+1.218+1.192+1.216+1.27+1.212+1.24+1.246+1.258+1.272+1.27+1.19+1.296+1.33-1.286-1.33-1.296-1.272-1.192-1.27-1.248-1.276-1.218-1.192-1.216+0.002+1.09+1.08-1.24-1.258-1.246+3.54-1.27-2.45-1.09+15.122-2.54-1.212-1.192-3.865-1.275-1.195+9.67-1.285-9.67-3.768-0.002-1.09-1.17+0.09+9.76</f>
        <v>9.7600000000000033</v>
      </c>
      <c r="F886" s="25">
        <v>169500</v>
      </c>
    </row>
    <row r="887" spans="1:6">
      <c r="A887"/>
      <c r="B887" s="30" t="s">
        <v>234</v>
      </c>
      <c r="C887" s="30" t="s">
        <v>625</v>
      </c>
      <c r="D887" s="30" t="s">
        <v>233</v>
      </c>
      <c r="E887" s="53">
        <f>2.32+1.202+1.176+1.178+1.166+1.26+1.196+1.214+1.196+1.268-1.268-0.007-2.32-1.214-1.189-1.166-1.178-1.26-0.043-1.202+1.174+1.282+1.264+1.256+1.228+1.27+1.246+1.206-1.27-1.282-0.002-1.256-1.195+0.042+0.965+0.743-1.206-1.174-1.185+0.006-1.246+1.206+1.114+1.15+1.032+1.054+0.982+1.232-1.206-1.114-1.15+1.252+1.266+1.272+1.238+1.272+1.248+1.222+1.25-1.238-1.272-1.232-1.222-1.272-1.24-1.248-1.266-0.142-1.032-1.252-0.842+0.002-1.226-0.038-1.25+0.014+1.998+0.9+0.864+1.016-1.016-1.998+1.998</f>
        <v>6.5210000000000017</v>
      </c>
      <c r="F887" s="25">
        <v>176000</v>
      </c>
    </row>
    <row r="888" spans="1:6">
      <c r="A888"/>
      <c r="B888" s="30">
        <v>20</v>
      </c>
      <c r="C888" s="30" t="s">
        <v>626</v>
      </c>
      <c r="D888" s="30" t="s">
        <v>233</v>
      </c>
      <c r="E888" s="53">
        <f>6.826+6.004-2.772+0.004-1.314-4.506-1.358+0.01-1.498+1.392+1.018+1.448+1.358+1.328+1.338+1.372+1.31+1.248-1.358-1.328-1.338-1.372-1.448-1.396-1.392-1.018-1.32-1.248+0.01+1.236+1.222+1.27+1.22+1.274+1.188+1.222-1.27-1.274-1.188-1.222-1.236-1.22-1.222+1.356+1.244+1.454+1.318-1.318-1.356-1.244-1.454+14.31+3.135+4.755+2.1+3.115+2.96+2.895-1.555+1.4-1.485-1.4-3.115-1.58-2.895-1.56-1.6-1.555-0.04-1.475-14.31-2.055-0.045+14.768-14.768+18.935-8.8-10.135+20.234</f>
        <v>20.234000000000002</v>
      </c>
      <c r="F888" s="25">
        <v>160500</v>
      </c>
    </row>
    <row r="889" spans="1:6">
      <c r="A889"/>
      <c r="B889" s="30" t="s">
        <v>234</v>
      </c>
      <c r="C889" s="30" t="s">
        <v>626</v>
      </c>
      <c r="D889" s="30" t="s">
        <v>233</v>
      </c>
      <c r="E889" s="53">
        <f>1.272+1.322+1.374+1.352+1.374+1.372+1.34+1.312-1.33-1.374-1.352-1.34-1.374+1.338+1.362+1.37+4.07-1.272-1.364-1.312-1.338-1.362-1.37-1.414-1.392-1.264+1.33+11.816+1.282+1.31-1.326-1.426-1.346+0.625-1.248-1.23-1.408-1.234-1.354+1.344+1.352-1.31+1.344+1.374+1.394+1.362+1.334+1.392+1.302+1.388+1.342+1.398-1.388-1.33-1.394-1.244-1.302-1.342-1.398-1.352-1.374-1.392-1.282-1.344-1.344-1.362-1.334-0.625+8.488-1.424-1.36-1.45-1.428-1.488+6.76+4.142-2.704</f>
        <v>9.5359999999999978</v>
      </c>
      <c r="F889" s="25">
        <v>176000</v>
      </c>
    </row>
    <row r="890" spans="1:6">
      <c r="A890"/>
      <c r="B890" s="30" t="s">
        <v>234</v>
      </c>
      <c r="C890" s="30" t="s">
        <v>852</v>
      </c>
      <c r="D890" s="30" t="s">
        <v>233</v>
      </c>
      <c r="E890" s="53">
        <f>1.166-1.166</f>
        <v>0</v>
      </c>
      <c r="F890" s="25">
        <v>179000</v>
      </c>
    </row>
    <row r="891" spans="1:6">
      <c r="A891"/>
      <c r="B891" s="30">
        <v>20</v>
      </c>
      <c r="C891" s="30" t="s">
        <v>627</v>
      </c>
      <c r="D891" s="30" t="s">
        <v>233</v>
      </c>
      <c r="E891" s="53">
        <f>6.954-1.388+1.67-1.41+6.986+5.135-1.745-5.241-1.715-1.415-1.72-1.38+1.328-1.395+0.034+1.376+1.294+1.324-1.67-1.324+3.976-1.376+1.314+1.35-1.374-1.304-1.298+1.234+1.084+10.394+1.36+1.342+1.312+1.346-1.314-1.35-1.312-1.346-1.362-1.298-1.32-1.326-0.026-1.298-1.328-1.294-1.234-1.282-1.288-0.012-1.324-1.084-1.36-1.342+0.142-1.7+19.178+1.408+1.392+1.414+1.372+1.368+1.37-1.45-1.35-1.3-1.408-1.432-1.39-1.386-1.416-1.368-1.352-1.376-1.314-1.414-1.354-1.296-1.37-1.394-1.392+7.775+3.4+3.405+2.4-1.372-1.368+5.075+3.4-3.4-1.72-3.405-3.385-1.71+0.03+0.885-1.69-0.63-7.775-2.27+15.166-3.46-1.74</f>
        <v>10.350999999999994</v>
      </c>
      <c r="F891" s="25">
        <v>160500</v>
      </c>
    </row>
    <row r="892" spans="1:6">
      <c r="A892"/>
      <c r="B892" s="30" t="s">
        <v>234</v>
      </c>
      <c r="C892" s="30" t="s">
        <v>627</v>
      </c>
      <c r="D892" s="30" t="s">
        <v>233</v>
      </c>
      <c r="E892" s="53">
        <f>1.334+1.378+1.312+1.28+1.38-1.334-1.378-1.312-1.28-1.38+1.326+1.296+1.296+1.386+1.352+1.344+1.376+1.36+1.346-0.087-11.995+1.338+1.376+1.318+1.378+1.322+1.314+1.344+1.222+1.408+1.344+1.32-1.344+1.318-1.378-1.322-1.408-1.344-1.32-1.318-1.318-1.338+1.392+1.298+1.29+1.348+1.284-1.392-1.348-1.284-1.298-1.29-1.314-1.222-1.376+1.354+1.356+1.336+1.39+1.366+1.32+1.236-1.366-1.32-1.236-1.354-1.356-1.336-1.39+1.208+1.322+1.294+1.348+1.212+1.318+1.294+1.344+1.322+1.37+1.348+1.368+1.34+1.34+1.398+1.37-1.37-6.832-1.208-1.294-1.294-1.212-1.34-1.34-1.322-1.323-1.344+1.323+0.001+1.286+1.166+1.418-1.166-0.156+1.344-5.218+0.008</f>
        <v>1.3230000000000031</v>
      </c>
      <c r="F892" s="25">
        <v>179000</v>
      </c>
    </row>
    <row r="893" spans="1:6">
      <c r="A893"/>
      <c r="B893" s="30">
        <v>20</v>
      </c>
      <c r="C893" s="30" t="s">
        <v>628</v>
      </c>
      <c r="D893" s="30" t="s">
        <v>233</v>
      </c>
      <c r="E893" s="53">
        <f>7.716+3.778-1.946-1.932-1.9-0.008-1.938+0.008-1.89-1.895+0.007+1.306+1.268+1.292-1.306-1.268-1.292+11.192-0.335-10.857+5.708+9.22-5.708</f>
        <v>9.2200000000000006</v>
      </c>
      <c r="F893" s="25">
        <v>171000</v>
      </c>
    </row>
    <row r="894" spans="1:6">
      <c r="A894"/>
      <c r="B894" s="30" t="s">
        <v>234</v>
      </c>
      <c r="C894" s="30" t="s">
        <v>628</v>
      </c>
      <c r="D894" s="30" t="s">
        <v>233</v>
      </c>
      <c r="E894" s="53">
        <f>5.368-4.034-1.334+1.348+1.426+1.308+1.422+1.3+1.372+1.406+1.368+1.372-1.422-1.348-1.308+1.136+1.226+1.294+1.538-1.538-1.136-1.226-1.294-1.368-1.372-1.426-1.3-1.372-1.406+1.774+1.316+1.454+1.452+1.422+1.582+1.412+1.36+1.35+1.38+1.386+1.458+1.372+1.188-1.386-1.458-1.412-1.36-1.774-1.582-8.164-1.316-1.454+7.144+1.34+2.752-1.468-1.522-1.272-1.34-1.46</f>
        <v>4.1739999999999968</v>
      </c>
      <c r="F894" s="25">
        <v>179000</v>
      </c>
    </row>
    <row r="895" spans="1:6">
      <c r="A895"/>
      <c r="B895" s="30">
        <v>20</v>
      </c>
      <c r="C895" s="30" t="s">
        <v>1109</v>
      </c>
      <c r="D895" s="32" t="s">
        <v>930</v>
      </c>
      <c r="E895" s="53">
        <f>1.462-0.375</f>
        <v>1.087</v>
      </c>
      <c r="F895" s="102">
        <v>115000</v>
      </c>
    </row>
    <row r="896" spans="1:6">
      <c r="A896"/>
      <c r="B896" s="30">
        <v>20</v>
      </c>
      <c r="C896" s="30" t="s">
        <v>629</v>
      </c>
      <c r="D896" s="30" t="s">
        <v>233</v>
      </c>
      <c r="E896" s="53">
        <f>2.78-1.39-1.39+2.175+2.16+2.17+2.09+2.1+2.095+1.6+3.22+1.525+1.585+1.585+1.555+1.585+2.145-1.555-0.005-1.58-0.02-1.585-2.145-1.6-1.62-1.525-1.59-1.6+0.025-2.17-2.175-2.1-2.16-2.09-2.095+11.15-9.01-2.23+0.09+2.012+11.131+8.254+1.462-19.166-1.462-2.231+21.05-2.135-2.125-2.14-2.155</f>
        <v>12.494999999999999</v>
      </c>
      <c r="F896" s="25">
        <v>170500</v>
      </c>
    </row>
    <row r="897" spans="1:6">
      <c r="A897"/>
      <c r="B897" s="30" t="s">
        <v>234</v>
      </c>
      <c r="C897" s="30" t="s">
        <v>629</v>
      </c>
      <c r="D897" s="30" t="s">
        <v>233</v>
      </c>
      <c r="E897" s="53">
        <f>15.028-6.005-5.643-1.44-1.94+1.51+1.38-1.51-1.38+1.558+1.956+1.844+1.202-1.956-1.844-1.558-1.202+1.918+1.898+1.908+1.938+1.872-1.938-1.918-1.898-1.908-1.872+1.924+1.962+1.832+1.882+1.902+1.782-1.924+1.486+1.708+1.762-1.902-1.782+1.782-1.486-1.708-1.762-1.882+1.944+1.78+1.864+1.8+1.738-1.78-1.8-1.864-1.738-1.944-1.832-1.782-1.962+10.276+1.988-2.082-2.038+2.02+1.948+2.036-1.988-2.034-2.082-1.948</f>
        <v>6.0960000000000001</v>
      </c>
      <c r="F897" s="25">
        <v>179000</v>
      </c>
    </row>
    <row r="898" spans="1:6">
      <c r="A898"/>
      <c r="B898" s="30">
        <v>20</v>
      </c>
      <c r="C898" s="30" t="s">
        <v>630</v>
      </c>
      <c r="D898" s="30" t="s">
        <v>233</v>
      </c>
      <c r="E898" s="53">
        <f>1.725+1.725+1.708-1.725-1.735+0.01+2.375+2.305+2.4+2.29+2.375-1.67-0.038-2.29-2.305-2.4-2.375-2.375+6.82+4.763+12.32-2.285-2.06-2.098-2.29</f>
        <v>15.170000000000002</v>
      </c>
      <c r="F898" s="25">
        <v>171000</v>
      </c>
    </row>
    <row r="899" spans="1:6">
      <c r="A899"/>
      <c r="B899" s="30">
        <v>20</v>
      </c>
      <c r="C899" s="30" t="s">
        <v>631</v>
      </c>
      <c r="D899" s="30" t="s">
        <v>233</v>
      </c>
      <c r="E899" s="53">
        <f>4.722-4.722+8.179-4.08-2.07+2.4+1.854+1.756+1.72+2.566+2.448-2.4-1.854-1.756-1.72-2.029-2.566+2.608+2.584+2.578+2.566-2.448-2.608-2.584-2.578+4.77+2.41+2.425-2.566-2.41-4.77-2.425+2.405+4.82+2.41+2.275-2.275-4.82-2.41-2.405+2.548+2.62+7.067-4.71-2.548-2.357+4.664+11.81-4.664</f>
        <v>14.430000000000001</v>
      </c>
      <c r="F899" s="25">
        <v>171000</v>
      </c>
    </row>
    <row r="900" spans="1:6">
      <c r="A900"/>
      <c r="B900" s="30" t="s">
        <v>234</v>
      </c>
      <c r="C900" s="30" t="s">
        <v>631</v>
      </c>
      <c r="D900" s="30" t="s">
        <v>233</v>
      </c>
      <c r="E900" s="53">
        <f>2.386+2.362+2.026-2.362-2.026+2.224-2.22-0.004-2.392+0.006+2.042+2.264+2.254+2.254-2.264-2.254-2.042+2.518+2.566+2.566+2.534-2.254-2.518-2.566-2.566-2.534+2.446+2.61+2.658+2.498+2.486+2.654+2.596+2.648+2.528+2.262+9.188+2.058-2.654-2.596-2.648-2.262-2.364-2.446-2.61-2.658-2.498-2.486-2.528-2.304-2.232-2.288-2.058+2.286+2.162+2.208+1.826+2.286+2.126+2.383-2.126-2.286-2.286-2.162-1.826-2.208-2.383+2.368+2.094+2.448+2.484+2.454+2+1.654+2.394+6.862-2.426-2.394-4.436-0.23-0.062-2.094-2.484-2.332-2+2.462+2.438+2.456+2.508-2.508-2.392-2.462-2.438-6.364</f>
        <v>-7.9936057773011271E-15</v>
      </c>
      <c r="F900" s="25">
        <v>179000</v>
      </c>
    </row>
    <row r="901" spans="1:6">
      <c r="A901"/>
      <c r="B901" s="30">
        <v>20</v>
      </c>
      <c r="C901" s="30" t="s">
        <v>632</v>
      </c>
      <c r="D901" s="30" t="s">
        <v>233</v>
      </c>
      <c r="E901" s="53">
        <f>2.054-2.054+6.624-3.45+2.33+2.37-2.33-2.37+6.816-2.26-4.58+0.024-1.65+4.69</f>
        <v>6.2139999999999986</v>
      </c>
      <c r="F901" s="25">
        <v>171000</v>
      </c>
    </row>
    <row r="902" spans="1:6">
      <c r="A902"/>
      <c r="B902" s="30" t="s">
        <v>234</v>
      </c>
      <c r="C902" s="30" t="s">
        <v>632</v>
      </c>
      <c r="D902" s="30" t="s">
        <v>233</v>
      </c>
      <c r="E902" s="53">
        <f>2.41-2.41</f>
        <v>0</v>
      </c>
      <c r="F902" s="25">
        <v>179000</v>
      </c>
    </row>
    <row r="903" spans="1:6">
      <c r="A903"/>
      <c r="B903" s="30">
        <v>20</v>
      </c>
      <c r="C903" s="30" t="s">
        <v>633</v>
      </c>
      <c r="D903" s="30" t="s">
        <v>233</v>
      </c>
      <c r="E903" s="53">
        <f>4.768+9.846-5.015-2.4-4.768-0.087-2.365+0.021+12.014-2.385-0.546-2.39+3.098+3.138+3.046+3.062-3.046-3.062-2.42-3.098</f>
        <v>7.4110000000000005</v>
      </c>
      <c r="F903" s="25">
        <v>171000</v>
      </c>
    </row>
    <row r="904" spans="1:6">
      <c r="A904"/>
      <c r="B904" s="30" t="s">
        <v>234</v>
      </c>
      <c r="C904" s="30" t="s">
        <v>633</v>
      </c>
      <c r="D904" s="30" t="s">
        <v>233</v>
      </c>
      <c r="E904" s="53">
        <f>2.692+1.902+2.804+2.678+2.692-2.772-2.695+0.003-2.678-0.126+0.094-2.692-1.902+2.614+2.622+2.612+2.456-2.614-2.622-2.612-2.456+2.494+2.7+2.466-2.494-2.466-2.7+3.038+2.66+2.942+2.078+2.792</f>
        <v>13.51</v>
      </c>
      <c r="F904" s="25">
        <v>179000</v>
      </c>
    </row>
    <row r="905" spans="1:6">
      <c r="A905"/>
      <c r="B905" s="30">
        <v>20</v>
      </c>
      <c r="C905" s="30" t="s">
        <v>634</v>
      </c>
      <c r="D905" s="30" t="s">
        <v>233</v>
      </c>
      <c r="E905" s="53">
        <f>5.442+5.352+2.64-2.64-2.71-0.002-5.352-0.24+2.552+2.593-2.552+2.53+2.524+2.592+2.614-2.495+0.005-2.592-2.614-2.524-2.53+2.562+2.598+2.444-2.562-2.598-2.536-2.444-0.057+11.336-2.3</f>
        <v>9.0359999999999978</v>
      </c>
      <c r="F905" s="25">
        <v>210000</v>
      </c>
    </row>
    <row r="906" spans="1:6">
      <c r="A906"/>
      <c r="B906" s="30" t="s">
        <v>234</v>
      </c>
      <c r="C906" s="30" t="s">
        <v>634</v>
      </c>
      <c r="D906" s="30" t="s">
        <v>233</v>
      </c>
      <c r="E906" s="53">
        <f>2.514+2.636+2.708-2.708-2.636-2.534+0.02+2.828+2.802-2.802+5.748-5.748-2.828+2.998+3.012</f>
        <v>6.0100000000000007</v>
      </c>
      <c r="F906" s="25">
        <v>252000</v>
      </c>
    </row>
    <row r="907" spans="1:6">
      <c r="A907"/>
      <c r="B907" s="30">
        <v>20</v>
      </c>
      <c r="C907" s="30" t="s">
        <v>635</v>
      </c>
      <c r="D907" s="30" t="s">
        <v>233</v>
      </c>
      <c r="E907" s="53">
        <f>2.662+8.458+2.66-2.826-2.66-2.892-2.65-0.012-2.74+2.726+2.466+2.614+2.312-2.726-2.614-2.312-2.466+2.5+2.805-2.805+2.672+2.792+2.728+2.818-2.818-2.792-2.728-2.672+2.7+2.7-2.725+0.225+2.36+2.38-2.7+2.38+2.335-2.38-2.335+2.38-2.38-2.7-2.36-2.38+2.7+2.445+2.785+2.41+2.695+2.7+2.775+2.75+4.9-2.41-2.695-2.7-2.75-2.7-2.785-2.445-4.9-2.775+15.034-3.03+12.26-6.16-9.11-3.055-2.93-3.045+0.036+11.102-7.4-3.702</f>
        <v>3.5527136788005009E-15</v>
      </c>
      <c r="F907" s="25">
        <v>210000</v>
      </c>
    </row>
    <row r="908" spans="1:6">
      <c r="A908"/>
      <c r="B908" s="30" t="s">
        <v>234</v>
      </c>
      <c r="C908" s="30" t="s">
        <v>635</v>
      </c>
      <c r="D908" s="30" t="s">
        <v>233</v>
      </c>
      <c r="E908" s="53">
        <f>5.096-2.62+2.864+2.252-2.864-2.476+2.864+2.856+2.806+2.654-2.864-2.252-2.856-2.806-2.654+2.534+2.386+2.128+2.138-2.128-2.138-2.534+10.458-2.386-10.458+11.576-2.914</f>
        <v>8.6620000000000026</v>
      </c>
      <c r="F908" s="25">
        <v>252000</v>
      </c>
    </row>
    <row r="909" spans="1:6">
      <c r="A909"/>
      <c r="B909" s="30">
        <v>20</v>
      </c>
      <c r="C909" s="30" t="s">
        <v>636</v>
      </c>
      <c r="D909" s="30" t="s">
        <v>233</v>
      </c>
      <c r="E909" s="53">
        <f>3.065+3.29+5.98+3.185+3.245+6.156-3.185-3.245-3.196-5.98-3.074-2.96+0.009+6.025-3.29-6.025+3.27+3.17+3.16+3.16-3.17-0.005+6.1+6.14-3.16+3.07-3.265-3.045-3.062+0.007-3.07-3.081</f>
        <v>6.2189999999999994</v>
      </c>
      <c r="F909" s="25">
        <v>219000</v>
      </c>
    </row>
    <row r="910" spans="1:6">
      <c r="A910"/>
      <c r="B910" s="30" t="s">
        <v>234</v>
      </c>
      <c r="C910" s="30" t="s">
        <v>636</v>
      </c>
      <c r="D910" s="30" t="s">
        <v>233</v>
      </c>
      <c r="E910" s="53">
        <f>2.808+2.794-2.808+2.692+2.148+2.652-2.794-2.692-2.652-2.148+2.586+2.574+2.68+2.658+2.372-2.586-2.574-2.658-2.68+2.482+2.598+2.472+2.602-2.482-2.598-2.602+8.01+2.862-2.372-2.472-8.01-2.862+15.168-3.16+12.41</f>
        <v>24.417999999999999</v>
      </c>
      <c r="F910" s="25">
        <v>252000</v>
      </c>
    </row>
    <row r="911" spans="1:6">
      <c r="A911"/>
      <c r="B911" s="30">
        <v>20</v>
      </c>
      <c r="C911" s="30" t="s">
        <v>815</v>
      </c>
      <c r="D911" s="30" t="s">
        <v>233</v>
      </c>
      <c r="E911" s="53">
        <f>3.724+2.688+2.732-3.724+2.676-2.688-2.732-2.676+7.527-3.756+3.655+3.675-3.655-3.69-0.081-3.675+2.71+2.596+2.686-2.71-2.686+14.94-2.596-3.735-3.735+6.01+5.96-7.425-6.01-5.96-0.045+11.623-11.623+15.33</f>
        <v>15.33</v>
      </c>
      <c r="F911" s="25">
        <v>219000</v>
      </c>
    </row>
    <row r="912" spans="1:6">
      <c r="A912"/>
      <c r="B912" s="30">
        <v>20</v>
      </c>
      <c r="C912" s="30" t="s">
        <v>637</v>
      </c>
      <c r="D912" s="30" t="s">
        <v>233</v>
      </c>
      <c r="E912" s="53">
        <f>3.742+8.808+5.672-3.742-8.785-0.023+2.934+2.872-2.916-2.862-2.83-2.87+2.492+2.676+2.722+0.018+2.72+14.792+0.01-2.722-11.26-2.72-2.676+3.69+3.695+3.75+3.724-2.492+1.695-0.028-1.695-3.75-3.724-3.735+0.045-3.755+0.223-3.695+14.932+2.842-2.842+11.117-6.063-11.117-2.995-3.015-3.015+0.156+7.76+7.809+11.719-3.9-3.895-11.719+8.486+9.494-3.86-3.914-0.026</f>
        <v>17.953999999999997</v>
      </c>
      <c r="F912" s="25">
        <v>220000</v>
      </c>
    </row>
    <row r="913" spans="1:6">
      <c r="A913"/>
      <c r="B913" s="30" t="s">
        <v>234</v>
      </c>
      <c r="C913" s="30" t="s">
        <v>637</v>
      </c>
      <c r="D913" s="30" t="s">
        <v>233</v>
      </c>
      <c r="E913" s="53">
        <f>2.46+2.502+2.368-2.46-2.368-2.502+2.972+3.012-3.012</f>
        <v>2.972</v>
      </c>
      <c r="F913" s="25">
        <v>252000</v>
      </c>
    </row>
    <row r="914" spans="1:6">
      <c r="A914"/>
      <c r="B914" s="30">
        <v>20</v>
      </c>
      <c r="C914" s="30" t="s">
        <v>816</v>
      </c>
      <c r="D914" s="30" t="s">
        <v>233</v>
      </c>
      <c r="E914" s="53">
        <f>3.06-3.06+3.12+3.108-3.12-3.108+1.778+3.725+3.725-1.778-3.725-3.725+3.955+3.695+3.73+3.672-3.672-3.695-1.78-2.21+0.035-3.73+12.366</f>
        <v>12.365999999999998</v>
      </c>
      <c r="F914" s="25">
        <v>220000</v>
      </c>
    </row>
    <row r="915" spans="1:6">
      <c r="A915"/>
      <c r="B915" s="30" t="s">
        <v>234</v>
      </c>
      <c r="C915" s="30" t="s">
        <v>816</v>
      </c>
      <c r="D915" s="30" t="s">
        <v>233</v>
      </c>
      <c r="E915" s="53">
        <f>2.702+2.772+2.786+2.85+2.85-2.85-2.85</f>
        <v>8.26</v>
      </c>
      <c r="F915" s="25">
        <v>252000</v>
      </c>
    </row>
    <row r="916" spans="1:6">
      <c r="A916"/>
      <c r="B916" s="30">
        <v>20</v>
      </c>
      <c r="C916" s="30" t="s">
        <v>817</v>
      </c>
      <c r="D916" s="30" t="s">
        <v>233</v>
      </c>
      <c r="E916" s="53">
        <f>3.738+2.84+2.684+2.856-2.856-2.684-2.84+4.138+4.116+4.094-0.098</f>
        <v>15.988000000000001</v>
      </c>
      <c r="F916" s="25">
        <v>220000</v>
      </c>
    </row>
    <row r="917" spans="1:6">
      <c r="A917"/>
      <c r="B917" s="30">
        <v>20</v>
      </c>
      <c r="C917" s="30" t="s">
        <v>948</v>
      </c>
      <c r="D917" s="30" t="s">
        <v>233</v>
      </c>
      <c r="E917" s="53">
        <f>3.79+4.005-4.005-3.746-0.044+4.093</f>
        <v>4.093</v>
      </c>
      <c r="F917" s="25">
        <v>220000</v>
      </c>
    </row>
    <row r="918" spans="1:6">
      <c r="A918"/>
      <c r="B918" s="30">
        <v>20</v>
      </c>
      <c r="C918" s="30" t="s">
        <v>818</v>
      </c>
      <c r="D918" s="30" t="s">
        <v>233</v>
      </c>
      <c r="E918" s="53">
        <f>0.995+1.025+0.985+1.015+1.01+1.02+1.02-0.995-1.015-0.985-1.025</f>
        <v>3.0499999999999985</v>
      </c>
      <c r="F918" s="25">
        <v>175000</v>
      </c>
    </row>
    <row r="919" spans="1:6">
      <c r="A919"/>
      <c r="B919" s="30" t="s">
        <v>234</v>
      </c>
      <c r="C919" s="30" t="s">
        <v>818</v>
      </c>
      <c r="D919" s="30" t="s">
        <v>233</v>
      </c>
      <c r="E919" s="53">
        <f>0.956+0.882+0.856+0.872+0.816+0.866-0.956-0.882-0.872-0.856-0.816-0.866+5.32-0.95-0.792-0.938-0.91-0.887-0.84-0.003+0.908+0.962+0.842-0.908-0.962-0.842+0.812+0.926+0.868+0.918+0.886+0.896+0.872+0.856-0.872-0.886+0.93+0.846+0.894+0.798+0.848-0.918-0.896-0.856+0.916+0.868+0.858+0.984+0.876+0.874-3.586-0.868-2.574-1.742+4.582-0.95-0.952+0.752-6.96+5.514+0.988+0.914+1.002+0.92-0.988-0.914-1.002-2.818+4.31+0.812+0.74+0.932+2.512-0.948-2.512</f>
        <v>9.4620000000000015</v>
      </c>
      <c r="F919" s="25">
        <v>184000</v>
      </c>
    </row>
    <row r="920" spans="1:6">
      <c r="A920"/>
      <c r="B920" s="30">
        <v>20</v>
      </c>
      <c r="C920" s="30" t="s">
        <v>638</v>
      </c>
      <c r="D920" s="30" t="s">
        <v>233</v>
      </c>
      <c r="E920" s="53">
        <f>1.918+0.812+0.932+0.968+0.94+0.98+1.183+1.183-0.972-0.812-0.932-1.183-1.183-1.012-0.968-0.94-0.008-0.906+1.164+1.172+1.138+1.152+0.812+0.898+1.074-1.138-1.152-1.074-0.898+1.02+0.96+0.946+0.998+0.986+0.926+0.892+0.918-0.892-1.164-1.188+0.016+0.87+0.962+0.914+0.932-0.96-0.986-0.87-0.962-0.914-0.932-0.918-0.812-1.02-0.946-0.998-0.926+1.004+0.972+0.964+0.964+0.94+0.896+2.26+2.29+1.145+1.135+2.27+1.12-2.29-1.145-1.135-2.27-0.896-0.964-1.004-0.972-0.964-0.94-2.26-1.12+14.76-1.21-2.46-3.66-7.43+10.122-1.14</f>
        <v>8.9819999999999958</v>
      </c>
      <c r="F920" s="25">
        <v>161500</v>
      </c>
    </row>
    <row r="921" spans="1:6">
      <c r="A921"/>
      <c r="B921" s="30" t="s">
        <v>234</v>
      </c>
      <c r="C921" s="30" t="s">
        <v>638</v>
      </c>
      <c r="D921" s="30" t="s">
        <v>233</v>
      </c>
      <c r="E921" s="53">
        <f>5.377+1.012-4.624+0.82-1.012+2.89+1.862-0.82-1.862-1.856-0.753+0.976+1.01+0.98+1.024+0.99+1.064+1.056+1.01+1.042+1.03+1.018+0.974-1.01-0.98-0.01-1.042-1.033-0.966-1.024-0.99-1.064-1.056-1.01-1.03-1.018-1.034+0.059+0.956+0.888+1.034+0.99+0.994-0.956-0.888-1.034-0.994-0.99+0.968+0.896+0.866+0.91+0.89+0.884+0.914+0.918+0.82-0.82-0.896-0.866-0.91-0.89-0.884-0.914-0.918+0.93+0.93+0.854+0.822+0.916+0.886+0.924+0.808+0.912+0.89+0.926+0.882-0.854-0.822-0.89-0.808-7.306+0.808+0.948+4.662+1.966-0.808-5.75+4.664+0.872+0.854+2.602+1.472</f>
        <v>13.258000000000003</v>
      </c>
      <c r="F921" s="25">
        <v>176000</v>
      </c>
    </row>
    <row r="922" spans="1:6">
      <c r="A922"/>
      <c r="B922" s="30">
        <v>20</v>
      </c>
      <c r="C922" s="30" t="s">
        <v>639</v>
      </c>
      <c r="D922" s="30" t="s">
        <v>233</v>
      </c>
      <c r="E922" s="53">
        <f>2.155-1.025+4.094-1.37-2.73+0.006+1.402-1.17+1.296+0.04-1.296+1.352+1.388+1.402+1.402+1.392+1.074+1.206-1.392-1.402-1.352-1.388-0.014-1.402+0.014-1.402-1.206+1.36+1.39+1.37+1.37-1.074-1.36-1.39-1.37-1.37+10.76</f>
        <v>10.76</v>
      </c>
      <c r="F922" s="25">
        <v>170000</v>
      </c>
    </row>
    <row r="923" spans="1:6">
      <c r="A923"/>
      <c r="B923" s="30" t="s">
        <v>234</v>
      </c>
      <c r="C923" s="30" t="s">
        <v>639</v>
      </c>
      <c r="D923" s="30" t="s">
        <v>233</v>
      </c>
      <c r="E923" s="53">
        <f>1.326+6.408+1.324+1.384+1.39-1.172-1.192-1.346-1.31-1.388-1.324-1.39+1.14-1.14+1.206+1.33+1.24+1.322-0.13-1.384-1.33-1.326-1.206-1.11-1.322+4.958+1.796+0.836-1.016</f>
        <v>6.5740000000000007</v>
      </c>
      <c r="F923" s="25">
        <v>176000</v>
      </c>
    </row>
    <row r="924" spans="1:6">
      <c r="A924"/>
      <c r="B924" s="30">
        <v>20</v>
      </c>
      <c r="C924" s="30" t="s">
        <v>640</v>
      </c>
      <c r="D924" s="30" t="s">
        <v>233</v>
      </c>
      <c r="E924" s="53">
        <f>3.13+1.242+1.346+1.268+1.284-1.346-1.248+0.006-1.555-1.284+4.603</f>
        <v>7.4459999999999997</v>
      </c>
      <c r="F924" s="25">
        <v>175000</v>
      </c>
    </row>
    <row r="925" spans="1:6">
      <c r="A925"/>
      <c r="B925" s="30" t="s">
        <v>234</v>
      </c>
      <c r="C925" s="30" t="s">
        <v>640</v>
      </c>
      <c r="D925" s="30" t="s">
        <v>233</v>
      </c>
      <c r="E925" s="53">
        <f>1.402+1.316+1.346+1.364+1.348+1.33</f>
        <v>8.1059999999999999</v>
      </c>
      <c r="F925" s="25">
        <v>181000</v>
      </c>
    </row>
    <row r="926" spans="1:6">
      <c r="A926"/>
      <c r="B926" s="30">
        <v>20</v>
      </c>
      <c r="C926" s="30" t="s">
        <v>641</v>
      </c>
      <c r="D926" s="30" t="s">
        <v>233</v>
      </c>
      <c r="E926" s="53">
        <f>6.156+1.098+1.232+1.396+1.486+1.422+1.468+1.168+1.454+1.43+3.772-1.355-1.47-1.232-1.425-1.44-1.17-1.87-0.898-1.168-0.014-0.005-0.138-1.902-1.486-1.282-2.733-1.098-1.396+1.252+1.38+1.29+1.322-1.38-1.29-1.322-1.252+1.81+12.45+6.737-1.7-1.71</f>
        <v>17.587</v>
      </c>
      <c r="F926" s="25">
        <v>170000</v>
      </c>
    </row>
    <row r="927" spans="1:6">
      <c r="A927"/>
      <c r="B927" s="30" t="s">
        <v>234</v>
      </c>
      <c r="C927" s="30" t="s">
        <v>641</v>
      </c>
      <c r="D927" s="30" t="s">
        <v>233</v>
      </c>
      <c r="E927" s="53">
        <f>1.432+1.41+1.35+1.464-1.35-1.42-0.026-1.41-1.464+0.014+1.394+1.304+1.348+1.36+1.326+1.374-6.758-1.348+7.13+0.82-1.476</f>
        <v>6.474000000000002</v>
      </c>
      <c r="F927" s="25">
        <v>181000</v>
      </c>
    </row>
    <row r="928" spans="1:6">
      <c r="A928"/>
      <c r="B928" s="30">
        <v>20</v>
      </c>
      <c r="C928" s="30" t="s">
        <v>642</v>
      </c>
      <c r="D928" s="30" t="s">
        <v>233</v>
      </c>
      <c r="E928" s="53">
        <f>2.047+1.86+1.746+1.048-1.746-1.048+1.798+1.362+1.16-1.16-1.798</f>
        <v>5.2690000000000001</v>
      </c>
      <c r="F928" s="25">
        <v>175000</v>
      </c>
    </row>
    <row r="929" spans="1:6">
      <c r="A929"/>
      <c r="B929" s="30">
        <v>20</v>
      </c>
      <c r="C929" s="30" t="s">
        <v>643</v>
      </c>
      <c r="D929" s="30" t="s">
        <v>233</v>
      </c>
      <c r="E929" s="53">
        <f>3.368-1.99+0.006+4.504+4.55-0.19-1.215+0.021-2.23-4.55+11.836-4.8-4.76-2.405+0.129+15.9-2.28-2.275-2.28+0.001-4.56+6.105-0.001</f>
        <v>12.884000000000002</v>
      </c>
      <c r="F929" s="25">
        <v>170000</v>
      </c>
    </row>
    <row r="930" spans="1:6">
      <c r="A930"/>
      <c r="B930" s="30" t="s">
        <v>234</v>
      </c>
      <c r="C930" s="30" t="s">
        <v>643</v>
      </c>
      <c r="D930" s="30" t="s">
        <v>233</v>
      </c>
      <c r="E930" s="53">
        <f>1.53-1.53+2.018+2.128-2.018-2.128+1.948+1.81+1.954+1.898+1.802+1.846+1.822+1.882+1.926-1.846-1.822-1.882-1.954</f>
        <v>9.3839999999999986</v>
      </c>
      <c r="F930" s="25">
        <v>176000</v>
      </c>
    </row>
    <row r="931" spans="1:6">
      <c r="A931"/>
      <c r="B931" s="30">
        <v>20</v>
      </c>
      <c r="C931" s="30" t="s">
        <v>644</v>
      </c>
      <c r="D931" s="30" t="s">
        <v>233</v>
      </c>
      <c r="E931" s="53">
        <f>2.405+2.184+2.41-2.405-2.184-2.41+2.492+2.476+2.484+2.532+2.48-2.484</f>
        <v>9.9800000000000022</v>
      </c>
      <c r="F931" s="25">
        <v>175000</v>
      </c>
    </row>
    <row r="932" spans="1:6">
      <c r="A932"/>
      <c r="B932" s="30">
        <v>20</v>
      </c>
      <c r="C932" s="30" t="s">
        <v>645</v>
      </c>
      <c r="D932" s="30" t="s">
        <v>233</v>
      </c>
      <c r="E932" s="53">
        <f>15.62-2.77-2.252-2.59-2.604-2.716-2.688+2.84+2.806+2.41+2.415-2.415-0.015-2.84-2.806+11.976-2.425-2.42-2.39-2.395-4.82+0.079+11.12</f>
        <v>11.120000000000001</v>
      </c>
      <c r="F932" s="25">
        <v>170000</v>
      </c>
    </row>
    <row r="933" spans="1:6">
      <c r="A933"/>
      <c r="B933" s="30" t="s">
        <v>234</v>
      </c>
      <c r="C933" s="30" t="s">
        <v>645</v>
      </c>
      <c r="D933" s="30" t="s">
        <v>233</v>
      </c>
      <c r="E933" s="53">
        <f>2.658+2.65+2.648+2.776+2.628+2.694+2.784+2.54-2.54-2.784-2.695+0.001-2.65-2.648+2.68+2.726-2.726-2.68-2.658+2.634+2.668-2.634-2.668-2.776+2.062+2.684-2.684-2.628+4.886+2.338-2.382-2.338-2.504+3.944+2.726</f>
        <v>8.7319999999999993</v>
      </c>
      <c r="F933" s="25">
        <v>176000</v>
      </c>
    </row>
    <row r="934" spans="1:6">
      <c r="A934"/>
      <c r="B934" s="30">
        <v>20</v>
      </c>
      <c r="C934" s="30" t="s">
        <v>646</v>
      </c>
      <c r="D934" s="30" t="s">
        <v>233</v>
      </c>
      <c r="E934" s="53">
        <f>2.388+2.566+2.588-2.588-2.566-2.395+0.007</f>
        <v>-1.1709383462843448E-16</v>
      </c>
      <c r="F934" s="25">
        <v>175000</v>
      </c>
    </row>
    <row r="935" spans="1:6">
      <c r="A935"/>
      <c r="B935" s="30">
        <v>20</v>
      </c>
      <c r="C935" s="30" t="s">
        <v>647</v>
      </c>
      <c r="D935" s="30" t="s">
        <v>233</v>
      </c>
      <c r="E935" s="53">
        <f>10.66-2.698+4.726-2.604-5.358+2.596+2.64+2.796+2.628-2.796-2.64-0.156-7.322-0.032-2.64+0.2-2.8+2.886+2.982+2.8-2.886-2.982+11.854-2.33-7.099-2.425+16.808-3.362+6.725+10.083-6.77+16.796-3.36+1.662-3.375-1.662-3.35-6.735</f>
        <v>23.46</v>
      </c>
      <c r="F935" s="25">
        <v>170000</v>
      </c>
    </row>
    <row r="936" spans="1:6">
      <c r="A936"/>
      <c r="B936" s="30" t="s">
        <v>234</v>
      </c>
      <c r="C936" s="30" t="s">
        <v>647</v>
      </c>
      <c r="D936" s="30" t="s">
        <v>233</v>
      </c>
      <c r="E936" s="53">
        <f>2.568+2.536+2.852-2.852-2.536-2.568+2.702+2.902-2.702-2.902+2.66+2.784-2.66-2.784+2.968+2.908+2.92+2.88-11.676</f>
        <v>0</v>
      </c>
      <c r="F936" s="25">
        <v>194000</v>
      </c>
    </row>
    <row r="937" spans="1:6">
      <c r="A937"/>
      <c r="B937" s="30">
        <v>20</v>
      </c>
      <c r="C937" s="30" t="s">
        <v>648</v>
      </c>
      <c r="D937" s="30" t="s">
        <v>233</v>
      </c>
      <c r="E937" s="53">
        <f>8.116-2.686-2.68-2.75+2.435+2.377-2.435-2.377+10.864</f>
        <v>10.864000000000001</v>
      </c>
      <c r="F937" s="25">
        <v>229000</v>
      </c>
    </row>
    <row r="938" spans="1:6">
      <c r="A938"/>
      <c r="B938" s="30" t="s">
        <v>234</v>
      </c>
      <c r="C938" s="30" t="s">
        <v>648</v>
      </c>
      <c r="D938" s="30" t="s">
        <v>233</v>
      </c>
      <c r="E938" s="53">
        <f>2.638+1.88+2.718-2.638-1.88+2.73+2.758+1.661+2.708+2.652+2.494+2.418-1.661-2.418-2.494-2.758-2.708-2.652</f>
        <v>5.4479999999999995</v>
      </c>
      <c r="F938" s="25">
        <v>252000</v>
      </c>
    </row>
    <row r="939" spans="1:6">
      <c r="A939"/>
      <c r="B939" s="30">
        <v>20</v>
      </c>
      <c r="C939" s="30" t="s">
        <v>649</v>
      </c>
      <c r="D939" s="30" t="s">
        <v>233</v>
      </c>
      <c r="E939" s="53">
        <f>2.948+2.952-2.95+2.405-2.948-0.002+7.644+3.87-3.87</f>
        <v>10.048999999999999</v>
      </c>
      <c r="F939" s="25">
        <v>225000</v>
      </c>
    </row>
    <row r="940" spans="1:6">
      <c r="A940"/>
      <c r="B940" s="30" t="s">
        <v>234</v>
      </c>
      <c r="C940" s="30" t="s">
        <v>649</v>
      </c>
      <c r="D940" s="30" t="s">
        <v>233</v>
      </c>
      <c r="E940" s="53">
        <f>2.596+2.652+2.692</f>
        <v>7.94</v>
      </c>
      <c r="F940" s="25">
        <v>252000</v>
      </c>
    </row>
    <row r="941" spans="1:6">
      <c r="A941"/>
      <c r="B941" s="30">
        <v>20</v>
      </c>
      <c r="C941" s="30" t="s">
        <v>819</v>
      </c>
      <c r="D941" s="30" t="s">
        <v>233</v>
      </c>
      <c r="E941" s="53">
        <f>3.146-3.146+3.586+3.684-3.684-3.586+6.549-3.205-0.037+10.165-3.035-3.62-3.51+8.99-3.27-8.99-0.037+17.196-4.34+12.972-4.345</f>
        <v>21.482999999999997</v>
      </c>
      <c r="F941" s="25">
        <v>225000</v>
      </c>
    </row>
    <row r="942" spans="1:6">
      <c r="A942"/>
      <c r="B942" s="30" t="s">
        <v>234</v>
      </c>
      <c r="C942" s="30" t="s">
        <v>819</v>
      </c>
      <c r="D942" s="30" t="s">
        <v>233</v>
      </c>
      <c r="E942" s="53">
        <f>2.742+2.746+2.692-2.746-2.742-2.692+2.774+2.652+2.594-2.594+2.878+2.966+2.83-2.878-2.774</f>
        <v>8.4480000000000004</v>
      </c>
      <c r="F942" s="25">
        <v>252000</v>
      </c>
    </row>
    <row r="943" spans="1:6">
      <c r="A943"/>
      <c r="B943" s="30">
        <v>20</v>
      </c>
      <c r="C943" s="30" t="s">
        <v>820</v>
      </c>
      <c r="D943" s="30" t="s">
        <v>233</v>
      </c>
      <c r="E943" s="53">
        <f>4.3-4.3+2.412+2.408+2.39+2.662-2.408-2.662-2.412-2.39+2.616+2.682-2.616+4.22+3.545+7.317-3.685-4.22-3.632+13.206-2.682-4.42</f>
        <v>12.331000000000001</v>
      </c>
      <c r="F943" s="25">
        <v>229000</v>
      </c>
    </row>
    <row r="944" spans="1:6">
      <c r="A944"/>
      <c r="B944" s="30" t="s">
        <v>234</v>
      </c>
      <c r="C944" s="30" t="s">
        <v>820</v>
      </c>
      <c r="D944" s="30" t="s">
        <v>233</v>
      </c>
      <c r="E944" s="53">
        <f>2.75+2.95+2.678+2.96+2.866+2.934+2.786+2.72+2.784+2.646+2.354-2.934-2.354-2.95-2.678-2.786</f>
        <v>16.725999999999999</v>
      </c>
      <c r="F944" s="25">
        <v>252000</v>
      </c>
    </row>
    <row r="945" spans="1:6">
      <c r="A945"/>
      <c r="B945" s="30">
        <v>20</v>
      </c>
      <c r="C945" s="30" t="s">
        <v>821</v>
      </c>
      <c r="D945" s="30" t="s">
        <v>233</v>
      </c>
      <c r="E945" s="53">
        <f>4.19+2.816+2.63+2.784-4.19-2.63-2.784-2.816+2.918+2.87+2.874+2.944+2.938-2.874-2.944-2.938+4.096+4.127-2.87+4.07-2.918+1.796-4.07-1.8+0.004-4.05-4.08-0.046-0.047+8.642+4.288</f>
        <v>12.929999999999996</v>
      </c>
      <c r="F945" s="25">
        <v>210000</v>
      </c>
    </row>
    <row r="946" spans="1:6">
      <c r="A946"/>
      <c r="B946" s="30">
        <v>20</v>
      </c>
      <c r="C946" s="30" t="s">
        <v>869</v>
      </c>
      <c r="D946" s="30" t="s">
        <v>233</v>
      </c>
      <c r="E946" s="53">
        <f>3.166-3.166+2.672+2.846+3.762+3.728-2.846+4.11-3.72-2.672-0.085-4.11</f>
        <v>3.6850000000000005</v>
      </c>
      <c r="F946" s="25">
        <v>229000</v>
      </c>
    </row>
    <row r="947" spans="1:6">
      <c r="A947"/>
      <c r="B947" s="33">
        <v>20</v>
      </c>
      <c r="C947" s="30" t="s">
        <v>949</v>
      </c>
      <c r="D947" s="30" t="s">
        <v>233</v>
      </c>
      <c r="E947" s="53">
        <f>4.048-3.995-0.053+4.044-0.049</f>
        <v>3.9949999999999997</v>
      </c>
      <c r="F947" s="25">
        <v>229000</v>
      </c>
    </row>
    <row r="948" spans="1:6">
      <c r="A948"/>
      <c r="B948" s="33">
        <v>20</v>
      </c>
      <c r="C948" s="30" t="s">
        <v>950</v>
      </c>
      <c r="D948" s="30" t="s">
        <v>233</v>
      </c>
      <c r="E948" s="53">
        <f>4.026+4.04-4.03+0.004-4.04+16.083</f>
        <v>16.082999999999998</v>
      </c>
      <c r="F948" s="25">
        <v>229000</v>
      </c>
    </row>
    <row r="949" spans="1:6">
      <c r="A949"/>
      <c r="B949" s="33">
        <v>20</v>
      </c>
      <c r="C949" s="30" t="s">
        <v>870</v>
      </c>
      <c r="D949" s="30" t="s">
        <v>233</v>
      </c>
      <c r="E949" s="53">
        <f>0.6+0.61+0.6+0.61-0.61-0.61-0.6-0.6+9.661-1.185-2.36-1.185-1.195-2.37+5.4-1.04-1.18-0.186+1.145+1.16+1.12+1.14+1.135-1.16-0.01+1.13+1.08+1.135+1.155+1.145+1.15+1.135-1.13-1.08-1.135-1.155-1.145-1.15-1.135-1.145-1.12-1.05-1.135+0.005-1.14+0.005+15.6-3.275-1.2-0.035-1.2-2.41-2.4-0.125-0.15-0.295-7.02-0.65-0.15+9.975</f>
        <v>9.9750000000000032</v>
      </c>
      <c r="F949" s="25">
        <v>229000</v>
      </c>
    </row>
    <row r="950" spans="1:6">
      <c r="A950"/>
      <c r="B950" s="33">
        <v>20</v>
      </c>
      <c r="C950" s="30" t="s">
        <v>853</v>
      </c>
      <c r="D950" s="30" t="s">
        <v>233</v>
      </c>
      <c r="E950" s="53">
        <f>1.118+1.2+1.4+1.38-1.118-1.388+0.008-1.2-1.4+1.41+1.418+1.355+1.34+1.365-1.355-1.41-1.365-1.34+5.41</f>
        <v>6.8279999999999994</v>
      </c>
      <c r="F950" s="25">
        <v>229000</v>
      </c>
    </row>
    <row r="951" spans="1:6">
      <c r="A951"/>
      <c r="B951" s="33">
        <v>20</v>
      </c>
      <c r="C951" s="30" t="s">
        <v>871</v>
      </c>
      <c r="D951" s="30" t="s">
        <v>233</v>
      </c>
      <c r="E951" s="53">
        <f>1.62+1.62-1.62-1.62+3.65+1.835-1.835</f>
        <v>3.6499999999999995</v>
      </c>
      <c r="F951" s="25">
        <v>229000</v>
      </c>
    </row>
    <row r="952" spans="1:6">
      <c r="A952"/>
      <c r="B952" s="33">
        <v>20</v>
      </c>
      <c r="C952" s="30" t="s">
        <v>854</v>
      </c>
      <c r="D952" s="30" t="s">
        <v>233</v>
      </c>
      <c r="E952" s="53">
        <f>1.14-1.14+4.36-2.19+2.19+2.16+2.18-2.18</f>
        <v>6.5200000000000014</v>
      </c>
      <c r="F952" s="25">
        <v>229000</v>
      </c>
    </row>
    <row r="953" spans="1:6">
      <c r="A953"/>
      <c r="B953" s="33">
        <v>20</v>
      </c>
      <c r="C953" s="30" t="s">
        <v>872</v>
      </c>
      <c r="D953" s="30" t="s">
        <v>233</v>
      </c>
      <c r="E953" s="53">
        <f>2.092+2.264-2.264+2.375-2.375</f>
        <v>2.0920000000000005</v>
      </c>
      <c r="F953" s="25">
        <v>229000</v>
      </c>
    </row>
    <row r="954" spans="1:6">
      <c r="A954"/>
      <c r="B954" s="33" t="s">
        <v>234</v>
      </c>
      <c r="C954" s="30" t="s">
        <v>873</v>
      </c>
      <c r="D954" s="30" t="s">
        <v>233</v>
      </c>
      <c r="E954" s="53">
        <f>2.496-2.496+1.78+1.766+1.626+1.638+1.96+2.412+2.33-1.78-11.732</f>
        <v>0</v>
      </c>
      <c r="F954" s="25">
        <v>235000</v>
      </c>
    </row>
    <row r="955" spans="1:6">
      <c r="A955"/>
      <c r="B955" s="33">
        <v>20</v>
      </c>
      <c r="C955" s="30" t="s">
        <v>874</v>
      </c>
      <c r="D955" s="30" t="s">
        <v>233</v>
      </c>
      <c r="E955" s="53">
        <f>2.385+2.381-2.385+2.408+2.57-2.38-0.028-2.38-0.001-2.571+0.001+2.422+2.292+2.534+1.842+1.518-2.422-2.292-1.518-1.842</f>
        <v>2.5340000000000003</v>
      </c>
      <c r="F955" s="25">
        <v>229000</v>
      </c>
    </row>
    <row r="956" spans="1:6">
      <c r="A956"/>
      <c r="B956" s="33" t="s">
        <v>234</v>
      </c>
      <c r="C956" s="30" t="s">
        <v>874</v>
      </c>
      <c r="D956" s="30" t="s">
        <v>233</v>
      </c>
      <c r="E956" s="53">
        <f>2.56+2.616</f>
        <v>5.1760000000000002</v>
      </c>
      <c r="F956" s="25">
        <v>235000</v>
      </c>
    </row>
    <row r="957" spans="1:6">
      <c r="A957"/>
      <c r="B957" s="33">
        <v>20</v>
      </c>
      <c r="C957" s="30" t="s">
        <v>875</v>
      </c>
      <c r="D957" s="30" t="s">
        <v>233</v>
      </c>
      <c r="E957" s="53">
        <f>2.66+2.346-2.66-2.35+0.004+2.43+2.43-2.43-2.43+6.08</f>
        <v>6.08</v>
      </c>
      <c r="F957" s="25">
        <v>229000</v>
      </c>
    </row>
    <row r="958" spans="1:6">
      <c r="A958"/>
      <c r="B958" s="33" t="s">
        <v>234</v>
      </c>
      <c r="C958" s="30" t="s">
        <v>875</v>
      </c>
      <c r="D958" s="30" t="s">
        <v>233</v>
      </c>
      <c r="E958" s="53">
        <f>2.735+2.782+2.885+2.75-2.735-2.75-2.885+2.742+2.916</f>
        <v>8.44</v>
      </c>
      <c r="F958" s="25">
        <v>235000</v>
      </c>
    </row>
    <row r="959" spans="1:6">
      <c r="A959"/>
      <c r="B959" s="33">
        <v>20</v>
      </c>
      <c r="C959" s="30" t="s">
        <v>876</v>
      </c>
      <c r="D959" s="30" t="s">
        <v>233</v>
      </c>
      <c r="E959" s="53">
        <f>2.27-2.27</f>
        <v>0</v>
      </c>
      <c r="F959" s="25">
        <v>229000</v>
      </c>
    </row>
    <row r="960" spans="1:6">
      <c r="A960"/>
      <c r="B960" s="33">
        <v>20</v>
      </c>
      <c r="C960" s="30" t="s">
        <v>1001</v>
      </c>
      <c r="D960" s="30" t="s">
        <v>233</v>
      </c>
      <c r="E960" s="53">
        <f>2.272</f>
        <v>2.2719999999999998</v>
      </c>
      <c r="F960" s="25">
        <v>229000</v>
      </c>
    </row>
    <row r="961" spans="1:6">
      <c r="A961"/>
      <c r="B961" s="33" t="s">
        <v>234</v>
      </c>
      <c r="C961" s="30" t="s">
        <v>1001</v>
      </c>
      <c r="D961" s="30" t="s">
        <v>233</v>
      </c>
      <c r="E961" s="53">
        <f>2.314+2.552+2.646-2.314-2.552-2.646+2.958+3.096-2.958</f>
        <v>3.0960000000000001</v>
      </c>
      <c r="F961" s="25">
        <v>252000</v>
      </c>
    </row>
    <row r="962" spans="1:6">
      <c r="A962"/>
      <c r="B962" s="33">
        <v>20</v>
      </c>
      <c r="C962" s="30" t="s">
        <v>1002</v>
      </c>
      <c r="D962" s="30" t="s">
        <v>233</v>
      </c>
      <c r="E962" s="53">
        <f>3.485</f>
        <v>3.4849999999999999</v>
      </c>
      <c r="F962" s="25">
        <v>239000</v>
      </c>
    </row>
    <row r="963" spans="1:6">
      <c r="A963"/>
      <c r="B963" s="33">
        <v>20</v>
      </c>
      <c r="C963" s="30" t="s">
        <v>855</v>
      </c>
      <c r="D963" s="30" t="s">
        <v>233</v>
      </c>
      <c r="E963" s="53">
        <f>4.125</f>
        <v>4.125</v>
      </c>
      <c r="F963" s="25">
        <v>239000</v>
      </c>
    </row>
    <row r="964" spans="1:6">
      <c r="A964"/>
      <c r="B964" s="33" t="s">
        <v>234</v>
      </c>
      <c r="C964" s="30" t="s">
        <v>855</v>
      </c>
      <c r="D964" s="30" t="s">
        <v>233</v>
      </c>
      <c r="E964" s="53">
        <f>2.092-2.092+2.738+2.69+2.806-2.69-2.806-2.738+8.9+3.122</f>
        <v>12.022</v>
      </c>
      <c r="F964" s="25">
        <v>252000</v>
      </c>
    </row>
    <row r="965" spans="1:6">
      <c r="A965"/>
      <c r="B965" s="33">
        <v>20</v>
      </c>
      <c r="C965" s="30" t="s">
        <v>1003</v>
      </c>
      <c r="D965" s="30" t="s">
        <v>233</v>
      </c>
      <c r="E965" s="53">
        <f>4.07</f>
        <v>4.07</v>
      </c>
      <c r="F965" s="25">
        <v>239000</v>
      </c>
    </row>
    <row r="966" spans="1:6">
      <c r="A966"/>
      <c r="B966" s="33">
        <v>20</v>
      </c>
      <c r="C966" s="30" t="s">
        <v>1004</v>
      </c>
      <c r="D966" s="30" t="s">
        <v>233</v>
      </c>
      <c r="E966" s="53">
        <f>4.08</f>
        <v>4.08</v>
      </c>
      <c r="F966" s="25">
        <v>239000</v>
      </c>
    </row>
    <row r="967" spans="1:6">
      <c r="A967"/>
      <c r="B967" s="30">
        <v>20</v>
      </c>
      <c r="C967" s="30" t="s">
        <v>650</v>
      </c>
      <c r="D967" s="30" t="s">
        <v>233</v>
      </c>
      <c r="E967" s="53">
        <f>3.118+1.124+1.064+2.053+1.099+1.038-2.19+0.012+1.01-1.185-1.124-1.064-0.136-0.732-1.099-0.679-1.152+0.142-0.94-1.24+0.881+9.836-1.096+1.2-1.262-1.164-1.062-1.11-1.02-0.978-0.938-1.206-1.2+4.891-1.286-0.918-0.766-0.917-0.094-0.012+4.321+4.476-3.365-2.145-1.385+0.487-2.176-1.111+19.5+1.122+0.972+0.956+0.938+0.948+0.942+0.864+1.49-1.122-0.972-0.956-0.938-0.942-0.948+1.052+1.012+1.018+1.03+0.986+1.018-1.012-1.018-1.018-0.986-1.03-1.052-1.115-0.864-15.467-1.11-1.075-1.475-1.11+0.377+1.026+1.012+0.996+1+1.004+1+1.012+1.008+0.928+1.042-1-1-1.042+11.563+3.153+3.146+3.145-2.102+9.915-1.015-8.405-3.145-3.146-2.074-0.041-0.008-1.026-0.996-1.004-1.012-4.93+0.71-7.938+0.005+15.71-2.29+15.73-1.13-5.66-3.46-9.96-9.02+0.08+10.39+10.62-3.144-1.183</f>
        <v>18.478999999999999</v>
      </c>
      <c r="F967" s="25">
        <v>161500</v>
      </c>
    </row>
    <row r="968" spans="1:6">
      <c r="A968"/>
      <c r="B968" s="33" t="s">
        <v>234</v>
      </c>
      <c r="C968" s="30" t="s">
        <v>650</v>
      </c>
      <c r="D968" s="30" t="s">
        <v>233</v>
      </c>
      <c r="E968" s="53">
        <f>8.981-1.71-0.9+0.031+1.561+0.901+0.653+0.71+0.713+1.027+1.012-1.685-1.027-1.203+0.191-1.561-0.194-7.5+2.012-1.109+2.495+7.5-0.707-0.653-0.422-1.515+0.003+22.737-2.495-0.903-1.28-0.713-0.012-11.836-0.677-9.621+0.401+3.605+4.47+3.575+4.75+4.7+7.1-21.1-4.17+1.145-2.93+4.433+18.4+19.826-1.4-0.958-1.008-0.976-0.98-1.002-0.98-0.948-1.01-0.97-1.002-0.974-0.982-1.006-0.984-0.968-1.27-1.15-0.924-17.25-0.486-0.926-0.918-0.91-1.145-1.1+5.679+1.229+1.264-2.488-1.082+5.795-3.226-1.229-3.373-1.953-1.295</f>
        <v>4.1029999999999998</v>
      </c>
      <c r="F968" s="25">
        <v>176000</v>
      </c>
    </row>
    <row r="969" spans="1:6">
      <c r="A969"/>
      <c r="B969" s="33">
        <v>20</v>
      </c>
      <c r="C969" s="30" t="s">
        <v>193</v>
      </c>
      <c r="D969" s="30" t="s">
        <v>233</v>
      </c>
      <c r="E969" s="53">
        <f>20.535-1.225-4.492-1.2-1.162-1.246+2.506-1.196+0.008-1.26-1.26+0.014-1.074+0.087+1.195+1.3+1.22+1.295-1.195+1.2-1.3-1.295+1.29+1.31+1.275+1.195+1.315+2.62+1.275+1.215-0.84-2.29-1.2-1.28-1.195-2.62+2.935-1.315-1.215-1.24-1.3-1.22-1.275+15.08-1.315-1.257-0.003-1.257-1.257-0.046+1.815-1.257-1.257-0.013-5.042-1.257-0.033-1.253-0.017+4.642+1.15+5.995-4.642-1.15-5.995-0.67-8.6-0.145+17.994+3.246-4.766+18.08-16.474-10.38-1.29+0.67-1.275+0.164+19.313+20.432</f>
        <v>46.824999999999982</v>
      </c>
      <c r="F969" s="25">
        <v>161500</v>
      </c>
    </row>
    <row r="970" spans="1:6">
      <c r="A970"/>
      <c r="B970" s="33" t="s">
        <v>234</v>
      </c>
      <c r="C970" s="30" t="s">
        <v>193</v>
      </c>
      <c r="D970" s="30" t="s">
        <v>233</v>
      </c>
      <c r="E970" s="53">
        <f>17.527+1.184-4.368-0.157-0.103-1.184+1.289+1.013-1.91-1.227-1.238+0.052-9.865+9.865-4.16+19.208+1.766-1.11-2.848-3.04-4.43-5.705-10.559+10.364-1.232+3.865-3.865-1.176-1.088-1.18-1.106-1.092-1.208-1.1-1.182+19.948-0.103+1.21+0.1-1.01+0.003-7.466-1.326-1.246-1.308-1.35-1.222-1.252-1.25-1.264+0.978-3.442+1.299+1.176-1.299-1.176+19.524+0.988+1.264+1.24+1.272+1.242+1.154+1.258+1.236+4.798+2.446+1.172+1.154+4.682-14.252-1.272-1.236-1.258-1.296-1.154-1.288-1.18-1.156-1.254-1.274+1.11-1.144-1.146-1.284-0.006-1.11-1.242-1.272-1.264-1.252-1.244-0.046-1.148-0.988-1.24-1.146+1.192+1.154+1.14+1.14+1.33-0.022-1.182-1.184-5.956+4.908+4.651+1+0.854+14.236+19.534+1.104+1.186+0.896-23.724+1.098-4.651+1.244+1.234-1.244-1.098-1.194-1.22-1.228-1-0.854-1.04-1.164-0.86-1.234-1.272-0.994-1.03+15.364+8.816-2.294-2.264-2.244-1.994-0.916-0.904-3.206-4.704-0.984-1.006-1.134-1.138+0.665-2.296-1.146-0.176-1.004+1.084+19.709-19.709-4.906-0.002-1.084-0.665+6.171+0.67-3.531-1.084+2.81+3.464+1.96+2.288+2.052+1.874-3.464-0.67-1.96-2.052-2.81</f>
        <v>5.7179999999999946</v>
      </c>
      <c r="F970" s="25">
        <v>176000</v>
      </c>
    </row>
    <row r="971" spans="1:6">
      <c r="A971"/>
      <c r="B971" s="33">
        <v>20</v>
      </c>
      <c r="C971" s="30" t="s">
        <v>194</v>
      </c>
      <c r="D971" s="30" t="s">
        <v>233</v>
      </c>
      <c r="E971" s="53">
        <f>20.446-2.465-2.91-1.186+0.91+0.84+1.335-1.16-1.4+0.07-3.085+3.085-2.78-3.085+1.372+1.393+3.085-1.372-1.393-1.12-1.47-1.335-0.03-1.11-0.88-0.84-1.058-1.422-2.555+0.073+0.047+1.242+1.266+1.294+1.336+1.31+1.284+1.312+1.314+1.284+1.336-1.284+1.296-1.266+1.368-1.368-1.294-1.336-1.242+1.242-1.336+1.284+1.4+1.435+1.4+1.425+1.39+1.41+1.49+1.5+1.45+1.45+0.005-1.242-1.4-1.435-1.4-1.425-1.39-1.41+1.415+1.47+1.495+1.415-1.31-1.284-1.312-1.314-1.296-1.284-1.415+4.505+1.46+1.465+1.485+1.465+1.48+1.475+1.49+1.465-4.505-1.485-1.465-1.48-1.49-1.465-1.47-1.46-1.465-1.495-1.355-0.06+4.24-1.375+4.296+15.458-1.475-1.475-1.395-1.47-0.015-2.9+1.506-1.445-1.515+0.009+20.075-2.89-4.29-2.875-2.87-2.86-5.62-11.344+0.01-1.442-2.846+14.515-1.412-2.915</f>
        <v>13.050000000000004</v>
      </c>
      <c r="F971" s="25">
        <v>161000</v>
      </c>
    </row>
    <row r="972" spans="1:6">
      <c r="A972"/>
      <c r="B972" s="33">
        <v>20</v>
      </c>
      <c r="C972" s="30" t="s">
        <v>194</v>
      </c>
      <c r="D972" s="29" t="s">
        <v>931</v>
      </c>
      <c r="E972" s="53">
        <v>0.79500000000000004</v>
      </c>
      <c r="F972" s="25">
        <v>100000</v>
      </c>
    </row>
    <row r="973" spans="1:6">
      <c r="A973"/>
      <c r="B973" s="33" t="s">
        <v>234</v>
      </c>
      <c r="C973" s="30" t="s">
        <v>194</v>
      </c>
      <c r="D973" s="30" t="s">
        <v>233</v>
      </c>
      <c r="E973" s="53">
        <f>9.546+1.41-1.375-1.382-1.255-1.458-1.323-2.774+0.021+1.266+1.122+1.316+1.332+1.386-1.266-1.122-1.316-1.332-1.386-1.41+1.358+1.062+1.054+1.416+1.326-1.358+1.302+1.304+1.38-1.416-1.302-1.304-1.38+1.286-1.326-1.286+1.204+1.32+1.294+1.4+1.378+1.438+1.344+1.304+1.308+1.296+1.336+1.4-1.062-1.204-1.336-1.4-1.294-1.4-1.438-1.344+1.344+1.362+1.42+1.266+1.386+1.332-1.378+1.294-1.266-1.386-1.332+1.198+1.442+1.42+1.322+1.384+1.38+1.338+1.414-1.42-1.414-1.384-1.338-1.38-1.304-1.296-1.198-1.442-1.42-1.344-1.32-1.308-1.362+4.06+5.795+2.868+1.438-1.438-1.47-1.45-1.425-2.862-1.322-1.45</f>
        <v>6.4139999999999961</v>
      </c>
      <c r="F973" s="25">
        <v>176000</v>
      </c>
    </row>
    <row r="974" spans="1:6">
      <c r="A974"/>
      <c r="B974" s="33">
        <v>20</v>
      </c>
      <c r="C974" s="30" t="s">
        <v>651</v>
      </c>
      <c r="D974" s="30" t="s">
        <v>233</v>
      </c>
      <c r="E974" s="53">
        <f>1.498+1.206+1.328+1.52+1.528+1.462+1.402+1.536+1.418+1.506-1.528-1.418-1.462-1.402-1.536-1.498-1.206-1.328-1.52-1.506+4.4+14.828+1.456-1.48-1.504-1.544-1.544-1.5-1.526-1.464+1.464-1.464-1.39-0.002-1.522-0.04-0.031-1.46+0.004-1.421-0.031-1.48-1.34+0.031+1.436+1.356+1.452-1.455+0.015+1.494-1.494-1.436-1.356-1.452+1.625+1.64+1.66+1.65+1.63+1.66+1.66+1.675+1.74+1.65-1.625-1.65-1.66-1.74-1.66-1.64-1.63-1.66-0.005-1.65-1.67+9.95-1.655+1.35-1.65-1.665+9.866-1.67-3.28-4.916-3.355+10.015-1.68-8.365+0.03-1.647+0.022+1.645-1.645+6.665+9.77-3.256-1.635</f>
        <v>12.893999999999989</v>
      </c>
      <c r="F974" s="25">
        <v>170000</v>
      </c>
    </row>
    <row r="975" spans="1:6">
      <c r="A975"/>
      <c r="B975" s="33" t="s">
        <v>234</v>
      </c>
      <c r="C975" s="30" t="s">
        <v>651</v>
      </c>
      <c r="D975" s="30" t="s">
        <v>233</v>
      </c>
      <c r="E975" s="53">
        <f>4.228+2.922-2.752+4.84-1.476-2.922-4.84+12.37-1.542+2.685-1.556-1.582-1.594-1.602-1.5-1.45+4.048-1.544-1.406-1.302-1.34+15.37+1.136+1.384+1.396+1.456+1.428+1.45+1.422+1.296+1.482+7.224-1.378+1.478-1.396-1.45-1.482-1.462-1.47-1.384-1.456-1.297-1.478-15.34-0.03-1.528-1.386-1.422-1.296-0.178+0.047-2.685-1.136+0.82+14.98-1.345-1.375-1.37-8.17-0.82+1.404+1.42+1.458+1.466+1.534+1.41+1.428+1.49+1.468+1.49+1.41+1.436+1.462+1.4+1.536-0.032-1.404-1.42-1.458-1.466-1.534-1.41+1.486+1.522-1.4-1.536-1.522-1.49-1.436-1.462-1.428-1.458-1.468-1.41-1.486+1.38+1.494+1.434+1.444+1.492+1.572+1.448+1.54-1.38-1.494-1.434-1.444-1.492-1.572-1.448-1.54-2.701-0.019+1.414+1.43-1.43+1.512+1.458+1.388+1.484+1.404+1.47+1.288+1.4+1.39+1.355-1.47-1.388-1.414-1.458-1.404-1.512-1.484-1.4+20.248-1.39+1.76-1.7-1.738-1.728-1.555-1.546-1.355-1.76-13.269+1.621+19.114-3.407-1.709-1.705</f>
        <v>13.914</v>
      </c>
      <c r="F975" s="25">
        <v>176000</v>
      </c>
    </row>
    <row r="976" spans="1:6">
      <c r="A976"/>
      <c r="B976" s="33">
        <v>20</v>
      </c>
      <c r="C976" s="30" t="s">
        <v>652</v>
      </c>
      <c r="D976" s="30" t="s">
        <v>233</v>
      </c>
      <c r="E976" s="53">
        <f>21.402+7.424-3.356-1.224-3.18-0.006-1.659-1.94-1.22-6.672-1.21-1.392-1.581-5.62+0.098+0.136+1.654+1.64+1.725+1.71+1.78+1.774-1.774-1.725-1.71-1.78-1.654+1.844+6.013+3.713+3.027-6.013-3.713-3.027-1.844+2.851+3.169+3.711+2.365+5.672+1.98+1.89+1.965+1.965+1.992-1.965-1.965-1.98-1.89-0.027-1.64-4.405-2.365-0.044-1.965-3.169-3.667-1.267-0.077-1.526+1.945+1.935+1.9+1.945+1.945+1.92+3.83+3.885+1.93+1.99+1.94+1.945+1.94+1.935-1.94+1.268-1.268-1.945-1.935-1.945-1.9-1.92-1.945-15.525-1.43+0.182+14.95-1.93-5.56-1.875+20.3-1.925-1.91-11.345-3.76-3.77-5.195+0.09+20.07-3.59-12.96+15.405</f>
        <v>18.924999999999997</v>
      </c>
      <c r="F976" s="25">
        <v>170000</v>
      </c>
    </row>
    <row r="977" spans="1:6">
      <c r="A977"/>
      <c r="B977" s="33" t="s">
        <v>234</v>
      </c>
      <c r="C977" s="30" t="s">
        <v>652</v>
      </c>
      <c r="D977" s="30" t="s">
        <v>233</v>
      </c>
      <c r="E977" s="53">
        <f>7.861-3.742+0.06-2.815+0.022+11.948+1.656-1.386-11.992-1.656+0.044+3.587-3.587+3.622-3.865+0.243+1.292+1.32+1.554+1.328+1.314+1.12+0.964+1.156+1.006+1.09+1.298+1.216+1.256-1.292-1.32-1.328-1.554+1.638+1.698+1.666+1.642+1.646+1.692+1.72-1.692-1.72+1.622+1.75+1.648+1.68+1.664+1.664-1.638-1.698-1.666-1.75-1.68-1.664-1.314-1.642-1.646-1.622-1.664-6.734-1.648-1.156-1.22+0.004+3.646+1.747+6.458-1.747-10.104+9.764-9.764+7.585+1.106+1.29</f>
        <v>9.9810000000000088</v>
      </c>
      <c r="F977" s="25">
        <v>176000</v>
      </c>
    </row>
    <row r="978" spans="1:6">
      <c r="A978"/>
      <c r="B978" s="33">
        <v>20</v>
      </c>
      <c r="C978" s="30" t="s">
        <v>653</v>
      </c>
      <c r="D978" s="30" t="s">
        <v>233</v>
      </c>
      <c r="E978" s="53">
        <f>1.714+1.612+1.65+1.668+1.678+6.406+1.618+1.664-1.618-1.714-1.612-1.668-1.678-1.664-2.17-4.25+0.014-1.65+6.48-2.175-4.31+0.005+10.785-2.17-2.17-6.476+0.031+11.46-4.615-2.292-2.32+13.566+11.075-13.566-6.704-4.43+0.059+9.375-1.883</f>
        <v>9.7250000000000014</v>
      </c>
      <c r="F978" s="25">
        <v>170000</v>
      </c>
    </row>
    <row r="979" spans="1:6">
      <c r="A979"/>
      <c r="B979" s="33" t="s">
        <v>234</v>
      </c>
      <c r="C979" s="30" t="s">
        <v>653</v>
      </c>
      <c r="D979" s="30" t="s">
        <v>233</v>
      </c>
      <c r="E979" s="53">
        <f>2.225+2.214+2.26+2.262+1.989-10.95+1.586+1.642+1.628+1.59+1.734-1.586-1.642-1.628-1.59-1.734+1.642+1.6+1.662+1.598+1.534-1.642-1.6-1.662+1.732+1.75+1.658+1.656+1.608+1.608-1.534+1.252-1.732-1.658-1.656-1.608-1.608-1.252+15.614-1.598-1.67-1.656-1.648-2.032-10.358+6.4+5.468</f>
        <v>11.868000000000007</v>
      </c>
      <c r="F979" s="25">
        <v>176000</v>
      </c>
    </row>
    <row r="980" spans="1:6">
      <c r="A980"/>
      <c r="B980" s="33">
        <v>20</v>
      </c>
      <c r="C980" s="30" t="s">
        <v>654</v>
      </c>
      <c r="D980" s="30" t="s">
        <v>233</v>
      </c>
      <c r="E980" s="53">
        <f>10.857+12.11-4.76-7.135-1.455+0.072-2.4-4.714-0.066+14.322+1.934+18.54-2.446-2.38+2.366-13.81-2.452-2.398-2.294-0.016+0.096+0.034-2.38-1.934-0.129-2.4-2.382-2.323-2.395-0.005-0.057+2.27+2.392+2.31+2.398+2.426+2-2.398-2.27-2.392-2.31-2.426-2+2.385+2.315+2.32+2.295+2.3+4.67+2.33+2.385+2.375+2.375-2.32-2.385-2.315-4.67-2.33-2.3-2.295-2.378+0.003+11.91+10.2-7.653-2.375-11.91-2.57+0.023+2.38-2.38+20.396-2.267-2.28-6.84-4.565+9.365+2.31</f>
        <v>18.504000000000001</v>
      </c>
      <c r="F980" s="25">
        <v>170000</v>
      </c>
    </row>
    <row r="981" spans="1:6">
      <c r="A981"/>
      <c r="B981" s="33" t="s">
        <v>234</v>
      </c>
      <c r="C981" s="30" t="s">
        <v>654</v>
      </c>
      <c r="D981" s="30" t="s">
        <v>233</v>
      </c>
      <c r="E981" s="53">
        <f>4.642+2.363+1.766+2.216+2.26+2.326+2.382+2.262-2.216-2.326-2.382-2.262-2.363-1.766-2.26+10.95+12.908+1.916-2.225-2.214-2.26-2.262-0.101-2.225+0.337-2.082-2.028-2.204-2.348-2.24-2.38-2.006-1.916-2.262+2.374+2.225+1.316+1.498+1.744+2.326+2.312+2.302+2.374-1.498-2.312-2.326-2.374-2.326+2.226+2.394+2.42+2.394+2.282+2.39+1.934-2.394-2.225-1.744-2.302-0.081-2.226-2.42-2.394-2.282-2.39-1.934+0.033-1.316+2.29+2.33+1.876+2.102+2.348+2.332+1.934+2.142+2.074-2.102-2.142-2.074-2.29-1.916+2.506+2.428+2.422+2.31+2.23+2.12-1.934+1.85-2.506-2.422-2.428-2.332-1.85-2.31-2.23-2.12-2.348-0.414-1.876+20.784-2.36-2.174-2.29-2.424-2.162-2.29-2.26-2.39-2.434+4.74+4.823+4.501+2.414-2.414+10.066-2.036</f>
        <v>22.094000000000001</v>
      </c>
      <c r="F981" s="25">
        <v>176000</v>
      </c>
    </row>
    <row r="982" spans="1:6">
      <c r="A982"/>
      <c r="B982" s="33">
        <v>20</v>
      </c>
      <c r="C982" s="30" t="s">
        <v>176</v>
      </c>
      <c r="D982" s="30" t="s">
        <v>233</v>
      </c>
      <c r="E982" s="53">
        <f>2.452+4.756+2.63-2.63-2.38-2.452-2.376+2.286+2.698-2.698-2.286+5.484-5.484+15.938-2.28-4.57-9.045-0.043+9.045</f>
        <v>9.0450000000000035</v>
      </c>
      <c r="F982" s="25">
        <v>170000</v>
      </c>
    </row>
    <row r="983" spans="1:6">
      <c r="A983"/>
      <c r="B983" s="33" t="s">
        <v>234</v>
      </c>
      <c r="C983" s="30" t="s">
        <v>176</v>
      </c>
      <c r="D983" s="30" t="s">
        <v>233</v>
      </c>
      <c r="E983" s="53">
        <f>4.22-2.1-2.12+1.401+2.282-2.282+2.38-2.38-1.401+2.074+2.176+2.078-2.078+1.556+2.29+2.292-2.074-2.176-1.556-2.29-2.292+1.732+2.33+2.356+2.376+2.262-1.732+2.344+1.962+1.478+1.61-1.962-2.344-2.356-2.376-2.262+2.436+2.492+2.372+2.358+2.382-2.33-1.478-1.61-2.492-2.358-2.382-2.436-2.372+1.918+2.452+2.352+2.078+2.27+2.248+2.152-1.918-0.49-1.79+0.01-2.452-2.352-2.078-2.248-2.152+8.83</f>
        <v>8.8300000000000018</v>
      </c>
      <c r="F983" s="25">
        <v>176000</v>
      </c>
    </row>
    <row r="984" spans="1:6">
      <c r="A984"/>
      <c r="B984" s="33">
        <v>20</v>
      </c>
      <c r="C984" s="30" t="s">
        <v>655</v>
      </c>
      <c r="D984" s="30" t="s">
        <v>233</v>
      </c>
      <c r="E984" s="53">
        <f>9.538-2.68+2.376-4.392-2.37-0.006-2.497+0.031+7.308-2.396-2.54+2.382+2.858+2.82+2.614+2.824-2.82-2.824-2.372-2.614-2.382-2.858+4.83+4.82-2.415-2.415-2.41+9.44-9.446-2.41+0.006+15.025-2.98-3.005-3.015-3.015+1.989-3.01+3.01</f>
        <v>4.9989999999999988</v>
      </c>
      <c r="F984" s="25">
        <v>170000</v>
      </c>
    </row>
    <row r="985" spans="1:6">
      <c r="A985"/>
      <c r="B985" s="33" t="s">
        <v>234</v>
      </c>
      <c r="C985" s="30" t="s">
        <v>655</v>
      </c>
      <c r="D985" s="30" t="s">
        <v>233</v>
      </c>
      <c r="E985" s="53">
        <f>5.158+5.044-2.495-2.658-2.5-2.59+0.041+2.458+2.252+2.912+2.634+2.862+2.852+2.346-2.852-2.458-2.634-2.862-2.346-2.912-2.252+2.22+1.504+1.936-2.22-1.504+1.58-1.936+2.144+3.724-1.504-0.001-2.144+2.316+2.248+2.38+2.102-1.58-2.248-2.102+2.926+2.836+2.822+2.084+2.6-2.926-2.836-2.822-2.084-2.6-2.38-2.316-2.219+2.414+2.682+2.544+2.646+2.914-2.414-2.544-2.646-2.914-2.682+5.756+10.296-2.906-2.884-2.214-2.3-2.85</f>
        <v>2.8979999999999948</v>
      </c>
      <c r="F985" s="25">
        <v>176000</v>
      </c>
    </row>
    <row r="986" spans="1:6">
      <c r="A986"/>
      <c r="B986" s="33">
        <v>20</v>
      </c>
      <c r="C986" s="30" t="s">
        <v>656</v>
      </c>
      <c r="D986" s="30" t="s">
        <v>233</v>
      </c>
      <c r="E986" s="53">
        <f>3.181-3.181+2.385+2.325-2.325-2.385+4.81+4.82-4.81+4.81-4.82-2.41+3.286+2.848+3.344+2.734+1.618-3.286-2.848-2.734+6.04+5.79</f>
        <v>19.191999999999997</v>
      </c>
      <c r="F986" s="25">
        <v>170000</v>
      </c>
    </row>
    <row r="987" spans="1:6">
      <c r="A987"/>
      <c r="B987" s="33" t="s">
        <v>234</v>
      </c>
      <c r="C987" s="30" t="s">
        <v>656</v>
      </c>
      <c r="D987" s="30" t="s">
        <v>233</v>
      </c>
      <c r="E987" s="53">
        <f>3.262+3.27+3.166+3.064+3.112+1.385+2.379-3.255-3.166-3.064-3.112-2.456+0.077+2.856+2.858+2.826+2.802-2.802-0.015-3.262-2.856-2.858-2.826+3.306+3.298+3.284-3.298-3.284+11.65-2.6-2.914-3.042+1.375-3.094</f>
        <v>6.0660000000000061</v>
      </c>
      <c r="F987" s="25">
        <v>176000</v>
      </c>
    </row>
    <row r="988" spans="1:6">
      <c r="A988"/>
      <c r="B988" s="33">
        <v>20</v>
      </c>
      <c r="C988" s="30" t="s">
        <v>657</v>
      </c>
      <c r="D988" s="30" t="s">
        <v>233</v>
      </c>
      <c r="E988" s="53">
        <f>2.822+10.532-2.83+0.008-3.535+3.286+3.338+3.426-3.338-3.426-7-3.286+0.003+3.565+3.592+3.585+3.875-3.585-3.592+3.478+3.45+3.466-3.565-3.45-3.478-3.466-3.875+2.61+3.47+2.388+3.484-2.388-2.61+10.91-3.484-7.274-3.47-3.637+0.001+29.19-3.58-3.665-3.675-3.58-0.73-0.095-6.505</f>
        <v>7.3599999999999985</v>
      </c>
      <c r="F988" s="25">
        <v>170000</v>
      </c>
    </row>
    <row r="989" spans="1:6">
      <c r="A989"/>
      <c r="B989" s="33" t="s">
        <v>234</v>
      </c>
      <c r="C989" s="30" t="s">
        <v>657</v>
      </c>
      <c r="D989" s="30" t="s">
        <v>233</v>
      </c>
      <c r="E989" s="53">
        <f>5.791-2.975+3.004+3.068+2.542-2.816-3.004-3.068-2.542+3.064+2.788+1.386+3.424-3.064-2.788+2.7+2.84+2.708+2.622-2.84+21-2.708-1.389-2.622-21.037+0.037+0.003+3.376+3.346-3.424-2.7-3.376-3.346+3.514-3.514+3.492+3.194-3.492-3.194+3.12+3.286+3.058+3.28+3.29+2.858-3.12-3.286-3.058-3.28-3.29+3.126-2.858-3.126+3.54-3.54+2.926+2.575+2.158-2.575-2.158-2.926+3.304+3.304-3.304-3.304+3.18+3.216+3.208+3.18-3.18-3.216-3.208-3.18+3.4+3.142+3.11+3.194+3.202+3.452+3.318+3.072-3.4-3.11-3.202</f>
        <v>16.178000000000011</v>
      </c>
      <c r="F989" s="25">
        <v>190000</v>
      </c>
    </row>
    <row r="990" spans="1:6">
      <c r="A990"/>
      <c r="B990" s="33">
        <v>20</v>
      </c>
      <c r="C990" s="30" t="s">
        <v>658</v>
      </c>
      <c r="D990" s="30" t="s">
        <v>233</v>
      </c>
      <c r="E990" s="53">
        <f>2.79+6.858-3.642-3.216-2.79+3.83-3.83+3.82+3.83+3.79-3.82+3.76-3.76-3.83+11.58-3.91</f>
        <v>11.46</v>
      </c>
      <c r="F990" s="25">
        <v>170000</v>
      </c>
    </row>
    <row r="991" spans="1:6">
      <c r="A991"/>
      <c r="B991" s="33" t="s">
        <v>234</v>
      </c>
      <c r="C991" s="30" t="s">
        <v>658</v>
      </c>
      <c r="D991" s="30" t="s">
        <v>233</v>
      </c>
      <c r="E991" s="53">
        <f>6.744-3.39-3.354+3.412+3.22+2.942+2.602+2.96-2.96-2.942-3.412-3.22+6.178-3.03-2.602-2.96-0.188+2.646+1.628+2.672+2.314+2.39+2.31+2.446+2.366+2.286+2.24-2.672-2.646-2.446+3.24+3.23+3.226+3.256-2.39-2.366-2.286-3.24-3.23-3.226-3.256-2.314-2.31-2.24+12.692-3.276-9.416+3.414+3.362+3.492+3.358</f>
        <v>15.254000000000001</v>
      </c>
      <c r="F991" s="25">
        <v>252000</v>
      </c>
    </row>
    <row r="992" spans="1:6">
      <c r="A992"/>
      <c r="B992" s="33">
        <v>20</v>
      </c>
      <c r="C992" s="30" t="s">
        <v>659</v>
      </c>
      <c r="D992" s="30" t="s">
        <v>233</v>
      </c>
      <c r="E992" s="53">
        <f>3.742-3.742+8.254+12.168</f>
        <v>20.421999999999997</v>
      </c>
      <c r="F992" s="25">
        <v>219000</v>
      </c>
    </row>
    <row r="993" spans="1:6">
      <c r="A993"/>
      <c r="B993" s="33">
        <v>20</v>
      </c>
      <c r="C993" s="30" t="s">
        <v>660</v>
      </c>
      <c r="D993" s="30" t="s">
        <v>233</v>
      </c>
      <c r="E993" s="53">
        <f>5.358-5.358+3.258+3.332+3.582-3.582-3.258-3.332+3.98-3.98+4.42+4.32+4.13+3.995+4.065+4.07-3.995-4.42-4.32-4.13-4.07-4.065+12.644-4.225+4.225-4.225-4.216-4.215+0.012</f>
        <v>2.2100377083944522E-15</v>
      </c>
      <c r="F993" s="25">
        <v>219000</v>
      </c>
    </row>
    <row r="994" spans="1:6">
      <c r="A994"/>
      <c r="B994" s="30" t="s">
        <v>234</v>
      </c>
      <c r="C994" s="30" t="s">
        <v>660</v>
      </c>
      <c r="D994" s="30" t="s">
        <v>233</v>
      </c>
      <c r="E994" s="53">
        <f>7.974-2.83-2.955-2.195+0.006+3.57+3.52+3.032-3.032-3.57-3.52+3.486+3.396+3.416+3.238+2.892-3.396-3.238-3.416-3.486+2.848+3.142+3.114+3.244-2.848-3.244</f>
        <v>9.1479999999999997</v>
      </c>
      <c r="F994" s="25">
        <v>252000</v>
      </c>
    </row>
    <row r="995" spans="1:6">
      <c r="A995"/>
      <c r="B995" s="30">
        <v>20</v>
      </c>
      <c r="C995" s="30" t="s">
        <v>661</v>
      </c>
      <c r="D995" s="30" t="s">
        <v>233</v>
      </c>
      <c r="E995" s="53">
        <f>2.982+2.916+2.875-2.982-2.916-2.875+3.516+3.616+3.443-3.41+2.85-0.033-3.516-3.616-2.85+3.5+3.535+3.52+3.6+3.575+3.515-3.515-3.535-3.52-3.6-3.575-3.5+14.162-9.442+14.098-9.425-4.72-4.673+13.946+17.152-4.33-9.295+3.952+11.508</f>
        <v>32.933000000000007</v>
      </c>
      <c r="F995" s="25">
        <v>219000</v>
      </c>
    </row>
    <row r="996" spans="1:6">
      <c r="A996"/>
      <c r="B996" s="30" t="s">
        <v>234</v>
      </c>
      <c r="C996" s="30" t="s">
        <v>661</v>
      </c>
      <c r="D996" s="30" t="s">
        <v>233</v>
      </c>
      <c r="E996" s="53">
        <f>1.525+2.774+3.108+3.174+2.384+3.44-1.525-2.384-2.774-3.108-3.174-3.44+3.414+3.304+3.186+3.452+2.893-3.304-3.452-3.186-3.414-2.865-0.028+3.646+3.46+3.442-3.646-3.46-3.442+2.612+3.304+3.032-3.304</f>
        <v>5.6439999999999984</v>
      </c>
      <c r="F996" s="25">
        <v>252000</v>
      </c>
    </row>
    <row r="997" spans="1:6">
      <c r="A997"/>
      <c r="B997" s="30">
        <v>20</v>
      </c>
      <c r="C997" s="30" t="s">
        <v>822</v>
      </c>
      <c r="D997" s="30" t="s">
        <v>233</v>
      </c>
      <c r="E997" s="53">
        <f>4.216+3.344+3.066+6.162-3.05</f>
        <v>13.738</v>
      </c>
      <c r="F997" s="25">
        <v>219000</v>
      </c>
    </row>
    <row r="998" spans="1:6">
      <c r="A998"/>
      <c r="B998" s="30" t="s">
        <v>234</v>
      </c>
      <c r="C998" s="30" t="s">
        <v>822</v>
      </c>
      <c r="D998" s="30" t="s">
        <v>233</v>
      </c>
      <c r="E998" s="53">
        <f>3.612+3.592-3.592-3.612+3.026-3.155+0.129+3.298+3.18-3.298-3.18+3.408+3.602+3.128+3.338+3.01+2.686+3.118-3.01-2.686+2.561-3.118-3.602+5.368-3.128-3.408</f>
        <v>11.266999999999998</v>
      </c>
      <c r="F998" s="25">
        <v>252000</v>
      </c>
    </row>
    <row r="999" spans="1:6">
      <c r="A999"/>
      <c r="B999" s="30">
        <v>20</v>
      </c>
      <c r="C999" s="30" t="s">
        <v>662</v>
      </c>
      <c r="D999" s="30" t="s">
        <v>233</v>
      </c>
      <c r="E999" s="53">
        <f>3.9+6.96-3.53-3.53+0.1+2.828+3.309+3.502-3.502-2.828-3.309-3.93+0.03+4.08+4.099-4.08-4.099+4.06+4.105+4.045-4.06-4.045+10.324-10.324+5.556-4.105-5.556+11.666+15.644-7.821-11.719+3.07+20.307-3.925-0.005</f>
        <v>27.216999999999999</v>
      </c>
      <c r="F999" s="25">
        <v>215000</v>
      </c>
    </row>
    <row r="1000" spans="1:6">
      <c r="A1000"/>
      <c r="B1000" s="30" t="s">
        <v>234</v>
      </c>
      <c r="C1000" s="30" t="s">
        <v>662</v>
      </c>
      <c r="D1000" s="30" t="s">
        <v>233</v>
      </c>
      <c r="E1000" s="53">
        <f>3.21+3.11-3.21-3.11+3.508+3.452+3.444-3.508-3.452-3.444+3.526+3.08+3.444+2.862-3.08-3.526+3.524+3.576+3.53+3.58-2.862-3.53-3.58-3.576-3.444-3.524+3.196+3.114+2.772-3.196+3.274+3.154-3.154+2.862+3.504-2.772-2.862+3.172+3.19+2.5-3.504+3.54-3.274+5.816-2.816-3</f>
        <v>15.516000000000005</v>
      </c>
      <c r="F1000" s="25">
        <v>252000</v>
      </c>
    </row>
    <row r="1001" spans="1:6">
      <c r="A1001"/>
      <c r="B1001" s="30">
        <v>20</v>
      </c>
      <c r="C1001" s="30" t="s">
        <v>856</v>
      </c>
      <c r="D1001" s="30" t="s">
        <v>233</v>
      </c>
      <c r="E1001" s="53">
        <f>3.186+3.362-3.186+4.07-3.362+0.016+4.187-4.086+5.79-4.145-0.042+6.866</f>
        <v>12.656000000000001</v>
      </c>
      <c r="F1001" s="25">
        <v>225000</v>
      </c>
    </row>
    <row r="1002" spans="1:6">
      <c r="A1002"/>
      <c r="B1002" s="30" t="s">
        <v>234</v>
      </c>
      <c r="C1002" s="30" t="s">
        <v>856</v>
      </c>
      <c r="D1002" s="30" t="s">
        <v>233</v>
      </c>
      <c r="E1002" s="53">
        <f>2.865+3.385-3.385+2.972+3.398-2.865+6.746</f>
        <v>13.116</v>
      </c>
      <c r="F1002" s="25">
        <v>252000</v>
      </c>
    </row>
    <row r="1003" spans="1:6">
      <c r="A1003"/>
      <c r="B1003" s="30">
        <v>20</v>
      </c>
      <c r="C1003" s="30" t="s">
        <v>951</v>
      </c>
      <c r="D1003" s="30" t="s">
        <v>233</v>
      </c>
      <c r="E1003" s="53">
        <f>4.133-4.133+4.055-4.055+11.932</f>
        <v>11.932</v>
      </c>
      <c r="F1003" s="25">
        <v>225000</v>
      </c>
    </row>
    <row r="1004" spans="1:6">
      <c r="A1004"/>
      <c r="B1004" s="30">
        <v>20</v>
      </c>
      <c r="C1004" s="30" t="s">
        <v>952</v>
      </c>
      <c r="D1004" s="30" t="s">
        <v>233</v>
      </c>
      <c r="E1004" s="53">
        <f>3.99-1.462-2.528+3.484+3.472-3.472-3.484+7.11+7.426</f>
        <v>14.536000000000001</v>
      </c>
      <c r="F1004" s="25">
        <v>225000</v>
      </c>
    </row>
    <row r="1005" spans="1:6">
      <c r="A1005"/>
      <c r="B1005" s="30">
        <v>20</v>
      </c>
      <c r="C1005" s="30" t="s">
        <v>898</v>
      </c>
      <c r="D1005" s="30" t="s">
        <v>233</v>
      </c>
      <c r="E1005" s="53">
        <f>1.305+3.925-0.117-1.31-1.295+1.215+1.245-1.22-1.315-0.05+0.032+0.045-1.215-1.245+10.756-1.335-1.37-1.351-1.35-0.364+0.003-1.356+2.495+2.49</f>
        <v>8.6179999999999986</v>
      </c>
      <c r="F1005" s="25">
        <v>374000</v>
      </c>
    </row>
    <row r="1006" spans="1:6">
      <c r="A1006"/>
      <c r="B1006" s="30">
        <v>20</v>
      </c>
      <c r="C1006" s="30" t="s">
        <v>899</v>
      </c>
      <c r="D1006" s="30" t="s">
        <v>233</v>
      </c>
      <c r="E1006" s="53">
        <f>1.57+1.57+1.49-1.57-1.62+0.05-1.46-0.03+11.044-1.58-1.58</f>
        <v>7.8840000000000003</v>
      </c>
      <c r="F1006" s="25">
        <v>374000</v>
      </c>
    </row>
    <row r="1007" spans="1:6">
      <c r="A1007"/>
      <c r="B1007" s="30">
        <v>20</v>
      </c>
      <c r="C1007" s="30" t="s">
        <v>900</v>
      </c>
      <c r="D1007" s="30" t="s">
        <v>233</v>
      </c>
      <c r="E1007" s="53">
        <f>3.3+1.632-1.632+1.632-1.72-1.63-0.002+5.18</f>
        <v>6.76</v>
      </c>
      <c r="F1007" s="25">
        <v>374000</v>
      </c>
    </row>
    <row r="1008" spans="1:6">
      <c r="A1008"/>
      <c r="B1008" s="30">
        <v>20</v>
      </c>
      <c r="C1008" s="30" t="s">
        <v>901</v>
      </c>
      <c r="D1008" s="30" t="s">
        <v>233</v>
      </c>
      <c r="E1008" s="53">
        <f>4.062+2.042-2.02-0.022+6.282</f>
        <v>10.343999999999999</v>
      </c>
      <c r="F1008" s="25">
        <v>374000</v>
      </c>
    </row>
    <row r="1009" spans="1:6">
      <c r="A1009"/>
      <c r="B1009" s="30">
        <v>20</v>
      </c>
      <c r="C1009" s="30" t="s">
        <v>823</v>
      </c>
      <c r="D1009" s="30" t="s">
        <v>233</v>
      </c>
      <c r="E1009" s="53">
        <f>4.838-2.42-2.22-0.198+2.35+2.382-2.34-0.01+10.616-2.654-2.654-2.654-2.4-2.663+0.018+0.009+11.995</f>
        <v>11.995000000000001</v>
      </c>
      <c r="F1009" s="25">
        <v>238000</v>
      </c>
    </row>
    <row r="1010" spans="1:6">
      <c r="A1010"/>
      <c r="B1010" s="30">
        <v>20</v>
      </c>
      <c r="C1010" s="30" t="s">
        <v>663</v>
      </c>
      <c r="D1010" s="30" t="s">
        <v>233</v>
      </c>
      <c r="E1010" s="53">
        <f>15.16-3.195-2.86-5.87-3.235+9.68-3.25+0.028+3.25+3.072-3.25-6.455-0.003+3.188+9.594-3.072+3-3-3.2-3.16-0.028-3.02-0.014+2.37+2.37+2.385+9.556+0.031+2.381-2.404-2.38-2.386+2.4+2.37-2.37-0.015+4.72-0.001-2.4-2.385-0.016-3.2-2.37-0.01-0.143-0.007-11.856+6.53+13.05-3.265-3.27-3.235+2.38-3.167-0.128-3.263-3.252-0.011+0.011-2.38+5.666</f>
        <v>5.6659999999999986</v>
      </c>
      <c r="F1010" s="25">
        <v>238000</v>
      </c>
    </row>
    <row r="1011" spans="1:6">
      <c r="A1011"/>
      <c r="B1011" s="30">
        <v>20</v>
      </c>
      <c r="C1011" s="30" t="s">
        <v>857</v>
      </c>
      <c r="D1011" s="30" t="s">
        <v>233</v>
      </c>
      <c r="E1011" s="53">
        <f>3.844-3.844+6.56-3.28-3.28+3.87+3.85</f>
        <v>7.7200000000000006</v>
      </c>
      <c r="F1011" s="25">
        <v>250000</v>
      </c>
    </row>
    <row r="1012" spans="1:6">
      <c r="A1012"/>
      <c r="B1012" s="30">
        <v>20</v>
      </c>
      <c r="C1012" s="30" t="s">
        <v>1005</v>
      </c>
      <c r="D1012" s="30" t="s">
        <v>233</v>
      </c>
      <c r="E1012" s="53">
        <f>4.415-4.415+3.47+3.56-3.56+9.23-3.47-4.615-4.615+10.983+7.684</f>
        <v>18.667000000000002</v>
      </c>
      <c r="F1012" s="25">
        <v>250000</v>
      </c>
    </row>
    <row r="1013" spans="1:6">
      <c r="A1013"/>
      <c r="B1013" s="30">
        <v>20</v>
      </c>
      <c r="C1013" s="30" t="s">
        <v>858</v>
      </c>
      <c r="D1013" s="30" t="s">
        <v>233</v>
      </c>
      <c r="E1013" s="53">
        <f>4.394-4.394+7.99-3.945-4.045+3.56-3.56+2.715-2.715+4.45-4.45</f>
        <v>0</v>
      </c>
      <c r="F1013" s="25">
        <v>250000</v>
      </c>
    </row>
    <row r="1014" spans="1:6">
      <c r="A1014"/>
      <c r="B1014" s="30">
        <v>20</v>
      </c>
      <c r="C1014" s="30" t="s">
        <v>859</v>
      </c>
      <c r="D1014" s="30" t="s">
        <v>233</v>
      </c>
      <c r="E1014" s="53">
        <f>3.832-3.832+10.594-5.29+1.87+3.777+3.782-3.72-0.062-3.777+4.885+4.89-1.87-4.89-0.096-4.885+0.096-5.298-0.006+7.254+3.65</f>
        <v>10.904</v>
      </c>
      <c r="F1014" s="25">
        <v>250000</v>
      </c>
    </row>
    <row r="1015" spans="1:6">
      <c r="A1015"/>
      <c r="B1015" s="30">
        <v>20</v>
      </c>
      <c r="C1015" s="30" t="s">
        <v>860</v>
      </c>
      <c r="D1015" s="30" t="s">
        <v>233</v>
      </c>
      <c r="E1015" s="53">
        <f>5.046-5.046+6.34+6.35</f>
        <v>12.69</v>
      </c>
      <c r="F1015" s="25">
        <v>250000</v>
      </c>
    </row>
    <row r="1016" spans="1:6">
      <c r="A1016"/>
      <c r="B1016" s="30">
        <v>20</v>
      </c>
      <c r="C1016" s="30" t="s">
        <v>861</v>
      </c>
      <c r="D1016" s="30" t="s">
        <v>233</v>
      </c>
      <c r="E1016" s="53">
        <f>6.958-0.6-4.468-1.89+6.862+6.736-6.73-0.006+5.56</f>
        <v>12.422000000000001</v>
      </c>
      <c r="F1016" s="25">
        <v>250000</v>
      </c>
    </row>
    <row r="1017" spans="1:6">
      <c r="A1017"/>
      <c r="B1017" s="30">
        <v>20</v>
      </c>
      <c r="C1017" s="30" t="s">
        <v>862</v>
      </c>
      <c r="D1017" s="30" t="s">
        <v>233</v>
      </c>
      <c r="E1017" s="53">
        <f>2.07+4.148-2.07+3.629-3.629+3.57-1.05+0.059-1.05-1.05-0.042-0.998-1.22</f>
        <v>2.3670000000000009</v>
      </c>
      <c r="F1017" s="25">
        <v>335000</v>
      </c>
    </row>
    <row r="1018" spans="1:6">
      <c r="A1018"/>
      <c r="B1018" s="30">
        <v>20</v>
      </c>
      <c r="C1018" s="30" t="s">
        <v>863</v>
      </c>
      <c r="D1018" s="30" t="s">
        <v>233</v>
      </c>
      <c r="E1018" s="53">
        <f>4.998+4.952-1.265-2.525</f>
        <v>6.1599999999999984</v>
      </c>
      <c r="F1018" s="25">
        <v>335000</v>
      </c>
    </row>
    <row r="1019" spans="1:6">
      <c r="A1019"/>
      <c r="B1019" s="30">
        <v>20</v>
      </c>
      <c r="C1019" s="30" t="s">
        <v>864</v>
      </c>
      <c r="D1019" s="30" t="s">
        <v>233</v>
      </c>
      <c r="E1019" s="53">
        <f>5.105+1.307-1.307-1.29-1.3-1.29+2.575+7.915-1.31-2.67+0.565-1.265-0.075-2.595+1.375+1.365+1.375+1.38-1.375-1.375-1.38-2.575-0.035-0.04-1.33-1.185-0.565+9.86</f>
        <v>9.86</v>
      </c>
      <c r="F1019" s="25">
        <v>335000</v>
      </c>
    </row>
    <row r="1020" spans="1:6">
      <c r="A1020"/>
      <c r="B1020" s="30">
        <v>20</v>
      </c>
      <c r="C1020" s="30" t="s">
        <v>865</v>
      </c>
      <c r="D1020" s="30" t="s">
        <v>233</v>
      </c>
      <c r="E1020" s="53">
        <f>4.962+1.24+6.11+1.595-12.61+9.768-0.155-6.58+5.994</f>
        <v>10.324000000000003</v>
      </c>
      <c r="F1020" s="25">
        <v>335000</v>
      </c>
    </row>
    <row r="1021" spans="1:6">
      <c r="A1021"/>
      <c r="B1021" s="30">
        <v>20</v>
      </c>
      <c r="C1021" s="30" t="s">
        <v>902</v>
      </c>
      <c r="D1021" s="30" t="s">
        <v>233</v>
      </c>
      <c r="E1021" s="53">
        <f>1.6+3.358</f>
        <v>4.9580000000000002</v>
      </c>
      <c r="F1021" s="25">
        <v>335000</v>
      </c>
    </row>
    <row r="1022" spans="1:6">
      <c r="A1022"/>
      <c r="B1022" s="30">
        <v>20</v>
      </c>
      <c r="C1022" s="30" t="s">
        <v>1132</v>
      </c>
      <c r="D1022" s="30" t="s">
        <v>233</v>
      </c>
      <c r="E1022" s="53">
        <f>11.44</f>
        <v>11.44</v>
      </c>
      <c r="F1022" s="25">
        <v>335000</v>
      </c>
    </row>
    <row r="1023" spans="1:6">
      <c r="A1023"/>
      <c r="B1023" s="30">
        <v>20</v>
      </c>
      <c r="C1023" s="30" t="s">
        <v>903</v>
      </c>
      <c r="D1023" s="30" t="s">
        <v>233</v>
      </c>
      <c r="E1023" s="53">
        <f>3.956+1.98-3.956-0.004</f>
        <v>1.976</v>
      </c>
      <c r="F1023" s="25">
        <v>335000</v>
      </c>
    </row>
    <row r="1024" spans="1:6">
      <c r="A1024"/>
      <c r="B1024" s="30">
        <v>20</v>
      </c>
      <c r="C1024" s="30" t="s">
        <v>904</v>
      </c>
      <c r="D1024" s="30" t="s">
        <v>233</v>
      </c>
      <c r="E1024" s="53">
        <f>2.35+2.678-2.678+0.002+2.65-2.355-2.678+0.003+0.028+20.89</f>
        <v>20.89</v>
      </c>
      <c r="F1024" s="25">
        <v>335000</v>
      </c>
    </row>
    <row r="1025" spans="1:6">
      <c r="A1025"/>
      <c r="B1025" s="30">
        <v>20</v>
      </c>
      <c r="C1025" s="30" t="s">
        <v>905</v>
      </c>
      <c r="D1025" s="30" t="s">
        <v>233</v>
      </c>
      <c r="E1025" s="53">
        <f>6.642-3.325+4.745</f>
        <v>8.0620000000000012</v>
      </c>
      <c r="F1025" s="25">
        <v>335000</v>
      </c>
    </row>
    <row r="1026" spans="1:6">
      <c r="A1026"/>
      <c r="B1026" s="30">
        <v>20</v>
      </c>
      <c r="C1026" s="30" t="s">
        <v>906</v>
      </c>
      <c r="D1026" s="30" t="s">
        <v>233</v>
      </c>
      <c r="E1026" s="53">
        <f>3.825+3.853-3.844-0.009+11.825-3.825</f>
        <v>11.824999999999999</v>
      </c>
      <c r="F1026" s="25">
        <v>335000</v>
      </c>
    </row>
    <row r="1027" spans="1:6">
      <c r="A1027"/>
      <c r="B1027" s="30">
        <v>20</v>
      </c>
      <c r="C1027" s="30" t="s">
        <v>907</v>
      </c>
      <c r="D1027" s="30" t="s">
        <v>233</v>
      </c>
      <c r="E1027" s="53">
        <f>5.114-5.09-0.024+11.646</f>
        <v>11.646000000000001</v>
      </c>
      <c r="F1027" s="25">
        <v>335000</v>
      </c>
    </row>
    <row r="1028" spans="1:6">
      <c r="A1028"/>
      <c r="B1028" s="30">
        <v>20</v>
      </c>
      <c r="C1028" s="30" t="s">
        <v>908</v>
      </c>
      <c r="D1028" s="30" t="s">
        <v>233</v>
      </c>
      <c r="E1028" s="53">
        <f>4.974+5.978</f>
        <v>10.952</v>
      </c>
      <c r="F1028" s="25">
        <v>335000</v>
      </c>
    </row>
    <row r="1029" spans="1:6">
      <c r="A1029"/>
      <c r="B1029" s="30">
        <v>20</v>
      </c>
      <c r="C1029" s="30" t="s">
        <v>1133</v>
      </c>
      <c r="D1029" s="30" t="s">
        <v>233</v>
      </c>
      <c r="E1029" s="53">
        <f>5.378</f>
        <v>5.3780000000000001</v>
      </c>
      <c r="F1029" s="25">
        <v>335000</v>
      </c>
    </row>
    <row r="1030" spans="1:6">
      <c r="A1030"/>
      <c r="B1030" s="30" t="s">
        <v>234</v>
      </c>
      <c r="C1030" s="30" t="s">
        <v>1039</v>
      </c>
      <c r="D1030" s="30" t="s">
        <v>233</v>
      </c>
      <c r="E1030" s="53">
        <f>1.234-1.234</f>
        <v>0</v>
      </c>
      <c r="F1030" s="25">
        <v>373000</v>
      </c>
    </row>
    <row r="1031" spans="1:6">
      <c r="A1031"/>
      <c r="B1031" s="30">
        <v>20</v>
      </c>
      <c r="C1031" s="30" t="s">
        <v>1134</v>
      </c>
      <c r="D1031" s="30" t="s">
        <v>233</v>
      </c>
      <c r="E1031" s="53">
        <f>4.335</f>
        <v>4.335</v>
      </c>
      <c r="F1031" s="25">
        <v>335000</v>
      </c>
    </row>
    <row r="1032" spans="1:6">
      <c r="A1032"/>
      <c r="B1032" s="30">
        <v>20</v>
      </c>
      <c r="C1032" s="30" t="s">
        <v>1006</v>
      </c>
      <c r="D1032" s="30" t="s">
        <v>233</v>
      </c>
      <c r="E1032" s="53">
        <f>1.29</f>
        <v>1.29</v>
      </c>
      <c r="F1032" s="25">
        <v>245000</v>
      </c>
    </row>
    <row r="1033" spans="1:6">
      <c r="A1033"/>
      <c r="B1033" s="30">
        <v>20</v>
      </c>
      <c r="C1033" s="30" t="s">
        <v>909</v>
      </c>
      <c r="D1033" s="30" t="s">
        <v>233</v>
      </c>
      <c r="E1033" s="53">
        <f>0.995+1.006+3.011+0.99-1.006-0.99+3.28-0.99-0.005-2.19-2.015-1-1.14+0.004+0.05</f>
        <v>-9.298117831235686E-16</v>
      </c>
      <c r="F1033" s="25">
        <v>335000</v>
      </c>
    </row>
    <row r="1034" spans="1:6">
      <c r="A1034"/>
      <c r="B1034" s="30">
        <v>20</v>
      </c>
      <c r="C1034" s="30" t="s">
        <v>835</v>
      </c>
      <c r="D1034" s="30" t="s">
        <v>233</v>
      </c>
      <c r="E1034" s="53">
        <f>3.258-1.685-1.573+4.54+2.16+0.023-1.085-1.07-0.005-1.286-1.268+1.175+1.17+2.345+4.695-1.175+1.175-3.495+0.966+0.975+0.982-1.171-0.005-1.175-1.17-1.174-1.256-2.009-0.966+0.056+0.005+1.125-1.14+0.015+11.058-3.154-1.569-1.555-0.2-1.578-0.966-1.588-0.031+6.254-1.58</f>
        <v>7.0479999999999965</v>
      </c>
      <c r="F1034" s="25">
        <v>374000</v>
      </c>
    </row>
    <row r="1035" spans="1:6">
      <c r="A1035"/>
      <c r="B1035" s="30">
        <v>20</v>
      </c>
      <c r="C1035" s="30" t="s">
        <v>836</v>
      </c>
      <c r="D1035" s="30" t="s">
        <v>233</v>
      </c>
      <c r="E1035" s="53">
        <f>3.258-1.685-1.573+6.652+1.09+1.065+0.028-6.68-1.37-1.365+0.28+0.3+6.7+1.618+1.688+3.486+0.021+1.68+3.39-1.71+1.2+1.21+1.23+2.605-1.2+1.435-19.222+0.25-4.295-0.086+10.135</f>
        <v>10.135</v>
      </c>
      <c r="F1035" s="25">
        <v>374000</v>
      </c>
    </row>
    <row r="1036" spans="1:6">
      <c r="A1036"/>
      <c r="B1036" s="30">
        <v>20</v>
      </c>
      <c r="C1036" s="30" t="s">
        <v>910</v>
      </c>
      <c r="D1036" s="30" t="s">
        <v>233</v>
      </c>
      <c r="E1036" s="53">
        <f>1.603+3.207-1.6-3.195-0.003-0.012+10.23-1.465-1.45</f>
        <v>7.3150000000000004</v>
      </c>
      <c r="F1036" s="25">
        <v>335000</v>
      </c>
    </row>
    <row r="1037" spans="1:6">
      <c r="A1037"/>
      <c r="B1037" s="30">
        <v>20</v>
      </c>
      <c r="C1037" s="30" t="s">
        <v>664</v>
      </c>
      <c r="D1037" s="30" t="s">
        <v>233</v>
      </c>
      <c r="E1037" s="53">
        <f>3.258-1.685-1.573+6.688-3.315-3.373+3.779+1.89+3.8-3.779-1.771+1.73-1.89-0.01-1.73-2.009-0.01+4.584+10.025-1.68-1.675</f>
        <v>11.254</v>
      </c>
      <c r="F1037" s="25">
        <v>335000</v>
      </c>
    </row>
    <row r="1038" spans="1:6">
      <c r="A1038"/>
      <c r="B1038" s="30">
        <v>20</v>
      </c>
      <c r="C1038" s="30" t="s">
        <v>665</v>
      </c>
      <c r="D1038" s="30" t="s">
        <v>233</v>
      </c>
      <c r="E1038" s="53">
        <f>2.246-2.255+0.009+8.271-2.04-6.231+8.942-2.97-5.972+11.896</f>
        <v>11.896000000000001</v>
      </c>
      <c r="F1038" s="25">
        <v>279000</v>
      </c>
    </row>
    <row r="1039" spans="1:6">
      <c r="A1039"/>
      <c r="B1039" s="30">
        <v>20</v>
      </c>
      <c r="C1039" s="30" t="s">
        <v>666</v>
      </c>
      <c r="D1039" s="30" t="s">
        <v>233</v>
      </c>
      <c r="E1039" s="53">
        <f>3.487-3.487+10.18-3.37+2.41+2.41+2.678-6.81+0.002-2.68+2.41+2.42+2.42-2.41-2.42-2.41-2.408-2.42-0.002+11.59-3.895-3.908+3.635+7.061</f>
        <v>14.483000000000001</v>
      </c>
      <c r="F1039" s="25">
        <v>279000</v>
      </c>
    </row>
    <row r="1040" spans="1:6">
      <c r="A1040"/>
      <c r="B1040" s="30">
        <v>20</v>
      </c>
      <c r="C1040" s="30" t="s">
        <v>824</v>
      </c>
      <c r="D1040" s="30" t="s">
        <v>233</v>
      </c>
      <c r="E1040" s="53">
        <f>3.002-3.002+14.07-7.126-6.944+10.97-3.67-3.65+2.225+2.205+2.22-2.205-2.22-3.65-2.225+4.694+4.672+4.242</f>
        <v>13.608000000000001</v>
      </c>
      <c r="F1040" s="25">
        <v>269000</v>
      </c>
    </row>
    <row r="1041" spans="1:6">
      <c r="A1041"/>
      <c r="B1041" s="30">
        <v>20</v>
      </c>
      <c r="C1041" s="30" t="s">
        <v>667</v>
      </c>
      <c r="D1041" s="30" t="s">
        <v>233</v>
      </c>
      <c r="E1041" s="53">
        <f>4.407-4.407+4.402+2.5-4.53+0.128-2.37-0.13+3.462+2.415+2.4+2.38</f>
        <v>10.657</v>
      </c>
      <c r="F1041" s="25">
        <v>269000</v>
      </c>
    </row>
    <row r="1042" spans="1:6">
      <c r="A1042"/>
      <c r="B1042" s="30">
        <v>20</v>
      </c>
      <c r="C1042" s="30" t="s">
        <v>895</v>
      </c>
      <c r="D1042" s="30" t="s">
        <v>233</v>
      </c>
      <c r="E1042" s="53">
        <f>3.62-3.62+9.876</f>
        <v>9.8759999999999994</v>
      </c>
      <c r="F1042" s="25">
        <v>269000</v>
      </c>
    </row>
    <row r="1043" spans="1:6">
      <c r="A1043"/>
      <c r="B1043" s="30">
        <v>20</v>
      </c>
      <c r="C1043" s="30" t="s">
        <v>668</v>
      </c>
      <c r="D1043" s="30" t="s">
        <v>233</v>
      </c>
      <c r="E1043" s="53">
        <f>2.766-2.766+15.554+3.556-4.03+3.62-11.524-3.556-3.62</f>
        <v>0</v>
      </c>
      <c r="F1043" s="25">
        <v>269000</v>
      </c>
    </row>
    <row r="1044" spans="1:6">
      <c r="A1044"/>
      <c r="B1044" s="30">
        <v>20</v>
      </c>
      <c r="C1044" s="30" t="s">
        <v>866</v>
      </c>
      <c r="D1044" s="30" t="s">
        <v>233</v>
      </c>
      <c r="E1044" s="53">
        <f>3.086+4.104-4.104+4.5</f>
        <v>7.5859999999999994</v>
      </c>
      <c r="F1044" s="25">
        <v>269000</v>
      </c>
    </row>
    <row r="1045" spans="1:6">
      <c r="A1045"/>
      <c r="B1045" s="30">
        <v>20</v>
      </c>
      <c r="C1045" s="30" t="s">
        <v>883</v>
      </c>
      <c r="D1045" s="30" t="s">
        <v>233</v>
      </c>
      <c r="E1045" s="53">
        <f>5.389-5.29-0.099+18-11.995+5.68</f>
        <v>11.685</v>
      </c>
      <c r="F1045" s="25">
        <v>269000</v>
      </c>
    </row>
    <row r="1046" spans="1:6">
      <c r="A1046"/>
      <c r="B1046" s="30">
        <v>20</v>
      </c>
      <c r="C1046" s="30" t="s">
        <v>884</v>
      </c>
      <c r="D1046" s="30" t="s">
        <v>233</v>
      </c>
      <c r="E1046" s="53">
        <f>6.748-6.748+6.436-6.345-0.091+20.735-6.935</f>
        <v>13.8</v>
      </c>
      <c r="F1046" s="25">
        <v>269000</v>
      </c>
    </row>
    <row r="1047" spans="1:6">
      <c r="A1047"/>
      <c r="B1047" s="30">
        <v>20</v>
      </c>
      <c r="C1047" s="30" t="s">
        <v>942</v>
      </c>
      <c r="D1047" s="30" t="s">
        <v>233</v>
      </c>
      <c r="E1047" s="53">
        <f>6.022-5.935-0.087+6.28-6.28+6.98-6.98+6.92-6.92+6.905</f>
        <v>6.9050000000000011</v>
      </c>
      <c r="F1047" s="25">
        <v>278000</v>
      </c>
    </row>
    <row r="1048" spans="1:6">
      <c r="A1048"/>
      <c r="B1048" s="30">
        <v>20</v>
      </c>
      <c r="C1048" s="30" t="s">
        <v>885</v>
      </c>
      <c r="D1048" s="30" t="s">
        <v>233</v>
      </c>
      <c r="E1048" s="53">
        <f>1.255-1.255+12.926+8.942+1.98+2.956+1.986+9.054+3-0.995-1.98-0.984-5.1-1.015-0.982+1.96+3.89+4.935+0.98+0.97+1.985-0.995+1.11+1.11+0.98+1.055+0.98+1.135+0.985+0.965-1.11+1.05+1.105+1.165-1.165-1.02-7.866-2.064-0.98-0.998-0.98-0.975-1.955-4.964-0.975-0.98-0.985-1.05-0.005-0.008-0.995-0.96-1.998+1.065+1.09+0.995+1.005+1.025+1.1+1.065+1.055+1.07+1.09+1.055+1.1-1.055-2.03-1.055-1.135-0.965-0.01+1.07+1.075+1.065+1.07-1.1-0.975+1.075-1.065-1.09-1.065-1.07-0.995-14.605-0.981-0.999+0.113+1.035-2-1.135+0.03-6.052-0.006-0.985-0.97+4.892+4.93+1.07+9.664-7.962+4.908+4.831-0.982-0.976+9.74+5.91+21.8-0.98-0.986+2.96-4.44-0.98-0.98-0.978-1.48-0.982-0.986-0.99-0.988-8.88-13.32+0.4-0.98-1.48-1.48+0.01-3.879-12.568-0.982+0.012+3.879+16.075-0.06-0.982-0.932-0.97+0.982+20.68-2.995-1.15</f>
        <v>38.420000000000016</v>
      </c>
      <c r="F1048" s="25">
        <v>245000</v>
      </c>
    </row>
    <row r="1049" spans="1:6">
      <c r="A1049"/>
      <c r="B1049" s="28" t="s">
        <v>1007</v>
      </c>
      <c r="C1049" s="30" t="s">
        <v>885</v>
      </c>
      <c r="D1049" s="30" t="s">
        <v>233</v>
      </c>
      <c r="E1049" s="53">
        <f>1.055+2.03+1.055+1.04-1.055-1.005-1.025-1.055-1.04+1.048+1.052+1.038+1.062+6.092-1.02-0.006-1.04+0.04-1.052+0.02-7.338+0.104+13.975+4.285-1.08-2.15-9.675-1.07-4.285+16.075+3.695-16.075-2.47</f>
        <v>1.2249999999999965</v>
      </c>
      <c r="F1049" s="25">
        <v>250000</v>
      </c>
    </row>
    <row r="1050" spans="1:6">
      <c r="A1050"/>
      <c r="B1050" s="30">
        <v>20</v>
      </c>
      <c r="C1050" s="30" t="s">
        <v>669</v>
      </c>
      <c r="D1050" s="30" t="s">
        <v>233</v>
      </c>
      <c r="E1050" s="53">
        <f>44.9135-0.97-21.224+16.844+10.093+9.763-7.412-8.376-1.275-1.25-1.26-2.176-10.224+0.239+3.806-3.782+5.034+6.274-1.078-1.048-8.838-1.235-3.252-1.056-0.004-1.262-2.516-2.482-8.446-2.16-1.135-0.037-0.988-0.08-1.05-0.006-1.065-0.005+3.212+26.488+16.054-15.584+8.674+12.412+22.484-1.262+5.43-1.254+5.445+16.252+1.082+4.302+1.254-1.068-8.715+10.144+16.945+8.854+10.1+23.25+10.05+10.098+10.09+10.022+10.064+10.078+10.04-10.04-8.8-4.344-56.454+0.033-17.356-10.1-10.064-0.008+8.918-26.406-2.146-1.092+15.078+17.926+20.094+15.136+13.822-18.844+7.57+20.152+13.8+13.785-8.842-2.496-10.064-1.248-1.242-5.014-9.084-0.074-3.812-5.03-5.018-7.57-5.032-7.508-18.766-10.742+0.074-1.096-1.095-0.013+27.685+17.495+2.495+8.665-2.51+17.566+7.509-1.28-10.02-1.27-3.735-0.008-1.086-1.082-3.25-1.25-1.25-0.004-18.789-36.351-0.011-1.278-2.525-8.816-7.525-18.847+0.001-38.961+27.086-0.04-7.545+5.6+19.325+1.61+18.815-1.26-1.61-3.23-1.25-1.078-18.815-1.082-1.418-19.726</f>
        <v>50.153499999999866</v>
      </c>
      <c r="F1050" s="25">
        <v>245000</v>
      </c>
    </row>
    <row r="1051" spans="1:6">
      <c r="A1051"/>
      <c r="B1051" s="28" t="s">
        <v>1007</v>
      </c>
      <c r="C1051" s="30" t="s">
        <v>669</v>
      </c>
      <c r="D1051" s="30" t="s">
        <v>233</v>
      </c>
      <c r="E1051" s="53">
        <f>1.04+1.042+1.04+1.036+1.036+5.198-1.04-1.04-1.042-1.036-3.104+7.285+2.51+17.544+7.47-7.592</f>
        <v>30.347000000000001</v>
      </c>
      <c r="F1051" s="25">
        <v>250000</v>
      </c>
    </row>
    <row r="1052" spans="1:6">
      <c r="A1052"/>
      <c r="B1052" s="30">
        <v>20</v>
      </c>
      <c r="C1052" s="30" t="s">
        <v>670</v>
      </c>
      <c r="D1052" s="30" t="s">
        <v>233</v>
      </c>
      <c r="E1052" s="53">
        <f>51.864-1.27-1.228-0.008-1.275-5.06-2.464-11.425-1.278-1.282-1.266-1.275+0.85-1.265-1.275-2.5-3.784-2.925-0.875+0.025+8.894+1.274+1.24+16.544+1.282+7.984+19.119-20.401-1.378+1.74+8.705+2.564-1.74-8.705-6.606-5.063-1.258-1.282-6.37-1.28-2.538-1.59-1.256-11.354+0.03-3.15-1.288-1.274-0.008-0.005-5.098-0.016+15.865+4.37+26.292+17.46-10.065-5.25-1.45-38.56-4.292-4.428+0.058+5.872-1.49+10.995-1.62+17.342+3.485+1.47+11.77+7.34+5.855-3.155-2.95</f>
        <v>54.914000000000001</v>
      </c>
      <c r="F1052" s="25">
        <v>245000</v>
      </c>
    </row>
    <row r="1053" spans="1:6">
      <c r="A1053"/>
      <c r="B1053" s="28" t="s">
        <v>1007</v>
      </c>
      <c r="C1053" s="30" t="s">
        <v>670</v>
      </c>
      <c r="D1053" s="30" t="s">
        <v>233</v>
      </c>
      <c r="E1053" s="53">
        <f>9.938+1.47+2.955+7.3-21.663+21.663-1.47-2.955-1.248-1.246-1.24</f>
        <v>13.504</v>
      </c>
      <c r="F1053" s="25">
        <v>250000</v>
      </c>
    </row>
    <row r="1054" spans="1:6">
      <c r="A1054"/>
      <c r="B1054" s="30">
        <v>20</v>
      </c>
      <c r="C1054" s="30" t="s">
        <v>911</v>
      </c>
      <c r="D1054" s="30" t="s">
        <v>233</v>
      </c>
      <c r="E1054" s="53">
        <f>3.1+1.44+3.24+1.79-3.15-1.44-1.79+0.05+0.012+1.606+1.6+1.62+12.26+1.63-1.606+0.02-1.63-1.615-1.585+1.35-1.6+1.375-1.61-8.04-1.35-1.375-3.24+0.56-0.012+10.26+1.47+1.47+1.465+1.48+1.485+1.45+1.485-2.94+3.985-1.47-1.485-1.37-1.435-1.485-1.485-0.165-0.01-5.835-1.45-1.465-1.325-4.24+4.24-1.47-1.48+8.191</f>
        <v>9.4810000000000052</v>
      </c>
      <c r="F1054" s="25">
        <v>245000</v>
      </c>
    </row>
    <row r="1055" spans="1:6">
      <c r="A1055"/>
      <c r="B1055" s="30">
        <v>20</v>
      </c>
      <c r="C1055" s="30" t="s">
        <v>671</v>
      </c>
      <c r="D1055" s="30" t="s">
        <v>233</v>
      </c>
      <c r="E1055" s="53">
        <f>3.698-1.845+2.394+3.412+2.466-1.865+0.012-3.355-0.057-2.394+3.295+1.43+1.755+1.47+1.76+1.895-1.755-1.47-1.76-1.895-2.466-3.435+0.14-1.43+1.51+1.51+1.515+1.575+7.31-1.515-1.575-4.895-1.51-1.51-2.415+4.98+5-2.5-2.5-4.98+9.956</f>
        <v>9.9559999999999995</v>
      </c>
      <c r="F1055" s="25">
        <v>245000</v>
      </c>
    </row>
    <row r="1056" spans="1:6">
      <c r="A1056"/>
      <c r="B1056" s="30">
        <v>20</v>
      </c>
      <c r="C1056" s="30" t="s">
        <v>672</v>
      </c>
      <c r="D1056" s="30" t="s">
        <v>233</v>
      </c>
      <c r="E1056" s="53">
        <f>2.612-2.612+5.41+2.048-2.048-5.41+5.404-5.404+10.325+2.09+2.055+2.08+1.845+2.07+2.06-2.09-1.845-2.09-2.06-2.08-2.07</f>
        <v>10.289999999999996</v>
      </c>
      <c r="F1056" s="25">
        <v>269000</v>
      </c>
    </row>
    <row r="1057" spans="1:6">
      <c r="A1057"/>
      <c r="B1057" s="30">
        <v>20</v>
      </c>
      <c r="C1057" s="30" t="s">
        <v>673</v>
      </c>
      <c r="D1057" s="30" t="s">
        <v>233</v>
      </c>
      <c r="E1057" s="53">
        <f>3.06+3.07+3.1+6.15-3.055-0.005-3.065-3.07-6.185+2.425+2.42+2.43+2.405+2.41+2.395+2.4+2.385+2.4+2.43+2.41+2.43+2.45-2.45-2.385-2.43-2.41-2.43-2.43-2.4</f>
        <v>14.454999999999993</v>
      </c>
      <c r="F1057" s="25">
        <v>269000</v>
      </c>
    </row>
    <row r="1058" spans="1:6">
      <c r="A1058"/>
      <c r="B1058" s="30">
        <v>20</v>
      </c>
      <c r="C1058" s="30" t="s">
        <v>825</v>
      </c>
      <c r="D1058" s="30" t="s">
        <v>233</v>
      </c>
      <c r="E1058" s="53">
        <f>3.05-3.05+4.814-2.39+2.22+2.22+2.2+2.195+2.17-2.424-2.22-2.22-2.2-2.195+9.276-2.17-9.276+13.93-4.61-4.7-4.71+0.09+4.536-4.536</f>
        <v>0</v>
      </c>
      <c r="F1058" s="25">
        <v>269000</v>
      </c>
    </row>
    <row r="1059" spans="1:6">
      <c r="A1059"/>
      <c r="B1059" s="30">
        <v>20</v>
      </c>
      <c r="C1059" s="30" t="s">
        <v>1008</v>
      </c>
      <c r="D1059" s="30" t="s">
        <v>233</v>
      </c>
      <c r="E1059" s="53">
        <f>4.82+2.215-2.425-2.396+0.001-2.215+4.605</f>
        <v>4.6050000000000004</v>
      </c>
      <c r="F1059" s="25">
        <v>269000</v>
      </c>
    </row>
    <row r="1060" spans="1:6">
      <c r="A1060"/>
      <c r="B1060" s="30">
        <v>20</v>
      </c>
      <c r="C1060" s="30" t="s">
        <v>953</v>
      </c>
      <c r="D1060" s="30" t="s">
        <v>233</v>
      </c>
      <c r="E1060" s="53">
        <f>4.82</f>
        <v>4.82</v>
      </c>
      <c r="F1060" s="25">
        <v>269000</v>
      </c>
    </row>
    <row r="1061" spans="1:6">
      <c r="A1061"/>
      <c r="B1061" s="30">
        <v>20</v>
      </c>
      <c r="C1061" s="30" t="s">
        <v>922</v>
      </c>
      <c r="D1061" s="30" t="s">
        <v>233</v>
      </c>
      <c r="E1061" s="53">
        <f>3.162-3.1-0.062+10.021-4.965+4.05-4.05-4.93-0.126+8.6+4.818</f>
        <v>13.418000000000001</v>
      </c>
      <c r="F1061" s="25">
        <v>269000</v>
      </c>
    </row>
    <row r="1062" spans="1:6">
      <c r="A1062"/>
      <c r="B1062" s="30">
        <v>20</v>
      </c>
      <c r="C1062" s="30" t="s">
        <v>1033</v>
      </c>
      <c r="D1062" s="30" t="s">
        <v>233</v>
      </c>
      <c r="E1062" s="53">
        <f>15.725-5.33</f>
        <v>10.395</v>
      </c>
      <c r="F1062" s="25">
        <v>269000</v>
      </c>
    </row>
    <row r="1063" spans="1:6">
      <c r="A1063"/>
      <c r="B1063" s="30">
        <v>20</v>
      </c>
      <c r="C1063" s="30" t="s">
        <v>886</v>
      </c>
      <c r="D1063" s="30" t="s">
        <v>233</v>
      </c>
      <c r="E1063" s="53">
        <f>5.236-5.12-0.116+6.718+6.724</f>
        <v>13.442</v>
      </c>
      <c r="F1063" s="25">
        <v>269000</v>
      </c>
    </row>
    <row r="1064" spans="1:6">
      <c r="A1064"/>
      <c r="B1064" s="30">
        <v>20</v>
      </c>
      <c r="C1064" s="30" t="s">
        <v>877</v>
      </c>
      <c r="D1064" s="30" t="s">
        <v>233</v>
      </c>
      <c r="E1064" s="53">
        <f>5.566-5.566+5.28+4.09-4.09+4.09-1.12+5.235</f>
        <v>13.484999999999999</v>
      </c>
      <c r="F1064" s="25">
        <v>269000</v>
      </c>
    </row>
    <row r="1065" spans="1:6">
      <c r="A1065"/>
      <c r="B1065" s="30">
        <v>20</v>
      </c>
      <c r="C1065" s="30" t="s">
        <v>887</v>
      </c>
      <c r="D1065" s="30" t="s">
        <v>233</v>
      </c>
      <c r="E1065" s="57">
        <f>5.903</f>
        <v>5.9029999999999996</v>
      </c>
      <c r="F1065" s="25">
        <v>269000</v>
      </c>
    </row>
    <row r="1066" spans="1:6">
      <c r="A1066"/>
      <c r="B1066" s="30">
        <v>20</v>
      </c>
      <c r="C1066" s="30" t="s">
        <v>1009</v>
      </c>
      <c r="D1066" s="30" t="s">
        <v>233</v>
      </c>
      <c r="E1066" s="53">
        <f>8.54</f>
        <v>8.5399999999999991</v>
      </c>
      <c r="F1066" s="25">
        <v>269000</v>
      </c>
    </row>
    <row r="1067" spans="1:6">
      <c r="A1067"/>
      <c r="B1067" s="30">
        <v>20</v>
      </c>
      <c r="C1067" s="30" t="s">
        <v>1010</v>
      </c>
      <c r="D1067" s="30" t="s">
        <v>233</v>
      </c>
      <c r="E1067" s="53">
        <f>8.59-8.59+8.096+8.068</f>
        <v>16.164000000000001</v>
      </c>
      <c r="F1067" s="25">
        <v>269000</v>
      </c>
    </row>
    <row r="1068" spans="1:6">
      <c r="A1068"/>
      <c r="B1068" s="30">
        <v>20</v>
      </c>
      <c r="C1068" s="30" t="s">
        <v>888</v>
      </c>
      <c r="D1068" s="30" t="s">
        <v>233</v>
      </c>
      <c r="E1068" s="53">
        <f>8.595+7.084-8.595-6.895-0.189</f>
        <v>0</v>
      </c>
      <c r="F1068" s="25">
        <v>325000</v>
      </c>
    </row>
    <row r="1069" spans="1:6">
      <c r="A1069"/>
      <c r="B1069" s="30">
        <v>20</v>
      </c>
      <c r="C1069" s="30" t="s">
        <v>1110</v>
      </c>
      <c r="D1069" s="30" t="s">
        <v>233</v>
      </c>
      <c r="E1069" s="53">
        <f>4.495-4.495</f>
        <v>0</v>
      </c>
      <c r="F1069" s="25">
        <v>269000</v>
      </c>
    </row>
    <row r="1070" spans="1:6">
      <c r="A1070"/>
      <c r="B1070" s="30">
        <v>20</v>
      </c>
      <c r="C1070" s="30" t="s">
        <v>912</v>
      </c>
      <c r="D1070" s="30" t="s">
        <v>233</v>
      </c>
      <c r="E1070" s="53">
        <f>3.645+1.76-0.93-2.715-0.87-0.92+0.03+2.185+2.18+2.175+2.195+2.16-2.195-0.01-1.085-1.095-1.09-1.075-1.085-0.005+16.195-1.62-1.63-8.12-1.095-0.005-1.63-1.625-1.08-1.08-0.005+0.005-1.625+0.06+9.585</f>
        <v>9.5850000000000009</v>
      </c>
      <c r="F1070" s="25">
        <v>305000</v>
      </c>
    </row>
    <row r="1071" spans="1:6">
      <c r="A1071"/>
      <c r="B1071" s="30">
        <v>20</v>
      </c>
      <c r="C1071" s="30" t="s">
        <v>935</v>
      </c>
      <c r="D1071" s="30" t="s">
        <v>233</v>
      </c>
      <c r="E1071" s="53">
        <f>6.492-5.43-1.055-0.007+1.47+1.47+2.95+1.485+1.445-1.485-1.495-1.47-1.455-1.455+10.555-1.759-1.76-1.751-1.759-0.008-0.013-1.445-0.015-0.02-1.726-0.014+7.13+3.45</f>
        <v>12.324999999999999</v>
      </c>
      <c r="F1071" s="25">
        <v>305000</v>
      </c>
    </row>
    <row r="1072" spans="1:6">
      <c r="A1072"/>
      <c r="B1072" s="30">
        <v>20</v>
      </c>
      <c r="C1072" s="30" t="s">
        <v>936</v>
      </c>
      <c r="D1072" s="30" t="s">
        <v>233</v>
      </c>
      <c r="E1072" s="53">
        <f>1.72+3.452-1.72-3.43-0.022</f>
        <v>-2.0122792321330962E-16</v>
      </c>
      <c r="F1072" s="25">
        <v>305000</v>
      </c>
    </row>
    <row r="1073" spans="1:9">
      <c r="A1073"/>
      <c r="B1073" s="30">
        <v>20</v>
      </c>
      <c r="C1073" s="30" t="s">
        <v>937</v>
      </c>
      <c r="D1073" s="30" t="s">
        <v>233</v>
      </c>
      <c r="E1073" s="53">
        <f>4.166-2.07+2.12-2.12+3.107+3.203</f>
        <v>8.4060000000000006</v>
      </c>
      <c r="F1073" s="25">
        <v>305000</v>
      </c>
    </row>
    <row r="1074" spans="1:9">
      <c r="A1074"/>
      <c r="B1074" s="30">
        <v>20</v>
      </c>
      <c r="C1074" s="30" t="s">
        <v>913</v>
      </c>
      <c r="D1074" s="30" t="s">
        <v>233</v>
      </c>
      <c r="E1074" s="53">
        <f>4.83-1.06-2.42+4.18+4.17-4.18-4.17-1.32-0.03</f>
        <v>-4.163336342344337E-16</v>
      </c>
      <c r="F1074" s="25">
        <v>305000</v>
      </c>
    </row>
    <row r="1075" spans="1:9">
      <c r="A1075"/>
      <c r="B1075" s="95"/>
      <c r="C1075" s="96"/>
      <c r="D1075" s="96"/>
      <c r="E1075" s="97"/>
      <c r="F1075" s="98"/>
    </row>
    <row r="1076" spans="1:9" ht="16">
      <c r="A1076"/>
      <c r="B1076" s="130" t="s">
        <v>1024</v>
      </c>
      <c r="C1076" s="131"/>
      <c r="D1076" s="131"/>
      <c r="E1076" s="131"/>
      <c r="F1076" s="131"/>
      <c r="G1076" s="131"/>
      <c r="H1076" s="131"/>
      <c r="I1076" s="132"/>
    </row>
    <row r="1077" spans="1:9">
      <c r="A1077"/>
      <c r="B1077" s="24">
        <v>20</v>
      </c>
      <c r="C1077" s="24" t="s">
        <v>676</v>
      </c>
      <c r="D1077" s="103" t="s">
        <v>1135</v>
      </c>
      <c r="E1077" s="24" t="s">
        <v>1139</v>
      </c>
      <c r="F1077" s="58">
        <v>10710.000000000004</v>
      </c>
      <c r="G1077" s="111">
        <v>136.44</v>
      </c>
    </row>
    <row r="1078" spans="1:9">
      <c r="A1078"/>
      <c r="B1078" s="24">
        <v>20</v>
      </c>
      <c r="C1078" s="24" t="s">
        <v>676</v>
      </c>
      <c r="D1078" s="24" t="s">
        <v>233</v>
      </c>
      <c r="E1078" s="24" t="s">
        <v>1139</v>
      </c>
      <c r="F1078" s="58">
        <v>0</v>
      </c>
      <c r="G1078" s="111">
        <v>160.06</v>
      </c>
    </row>
    <row r="1079" spans="1:9">
      <c r="A1079"/>
      <c r="B1079" s="24">
        <v>20</v>
      </c>
      <c r="C1079" s="24" t="s">
        <v>1036</v>
      </c>
      <c r="D1079" s="103" t="s">
        <v>1135</v>
      </c>
      <c r="E1079" s="24" t="s">
        <v>1139</v>
      </c>
      <c r="F1079" s="58">
        <v>3816</v>
      </c>
      <c r="G1079" s="111">
        <v>147.12</v>
      </c>
    </row>
    <row r="1080" spans="1:9">
      <c r="A1080"/>
      <c r="B1080" s="24">
        <v>20</v>
      </c>
      <c r="C1080" s="24" t="s">
        <v>1036</v>
      </c>
      <c r="D1080" s="24" t="s">
        <v>233</v>
      </c>
      <c r="E1080" s="24" t="s">
        <v>1139</v>
      </c>
      <c r="F1080" s="58">
        <v>0</v>
      </c>
      <c r="G1080" s="111">
        <v>172.61</v>
      </c>
    </row>
    <row r="1081" spans="1:9">
      <c r="A1081"/>
      <c r="B1081" s="24">
        <v>20</v>
      </c>
      <c r="C1081" s="24" t="s">
        <v>1037</v>
      </c>
      <c r="D1081" s="103" t="s">
        <v>1135</v>
      </c>
      <c r="E1081" s="24" t="s">
        <v>1139</v>
      </c>
      <c r="F1081" s="58">
        <v>984</v>
      </c>
      <c r="G1081" s="111">
        <v>139</v>
      </c>
    </row>
    <row r="1082" spans="1:9">
      <c r="A1082"/>
      <c r="B1082" s="24">
        <v>20</v>
      </c>
      <c r="C1082" s="24" t="s">
        <v>1037</v>
      </c>
      <c r="D1082" s="24" t="s">
        <v>233</v>
      </c>
      <c r="E1082" s="24" t="s">
        <v>1139</v>
      </c>
      <c r="F1082" s="58">
        <v>156</v>
      </c>
      <c r="G1082" s="111">
        <v>163.04</v>
      </c>
    </row>
    <row r="1083" spans="1:9">
      <c r="A1083"/>
      <c r="B1083" s="24">
        <v>20</v>
      </c>
      <c r="C1083" s="24" t="s">
        <v>163</v>
      </c>
      <c r="D1083" s="103" t="s">
        <v>1135</v>
      </c>
      <c r="E1083" s="24" t="s">
        <v>1139</v>
      </c>
      <c r="F1083" s="58">
        <v>6537.9999999999982</v>
      </c>
      <c r="G1083" s="111">
        <v>133.69999999999999</v>
      </c>
    </row>
    <row r="1084" spans="1:9">
      <c r="A1084"/>
      <c r="B1084" s="24">
        <v>20</v>
      </c>
      <c r="C1084" s="24" t="s">
        <v>163</v>
      </c>
      <c r="D1084" s="24" t="s">
        <v>233</v>
      </c>
      <c r="E1084" s="24" t="s">
        <v>1139</v>
      </c>
      <c r="F1084" s="58">
        <v>10</v>
      </c>
      <c r="G1084" s="111">
        <v>156.9</v>
      </c>
    </row>
    <row r="1085" spans="1:9">
      <c r="A1085"/>
      <c r="B1085" s="24">
        <v>20</v>
      </c>
      <c r="C1085" s="24" t="s">
        <v>677</v>
      </c>
      <c r="D1085" s="103" t="s">
        <v>1135</v>
      </c>
      <c r="E1085" s="24" t="s">
        <v>1139</v>
      </c>
      <c r="F1085" s="58">
        <v>3966</v>
      </c>
      <c r="G1085" s="111">
        <v>149</v>
      </c>
    </row>
    <row r="1086" spans="1:9">
      <c r="A1086"/>
      <c r="B1086" s="24">
        <v>20</v>
      </c>
      <c r="C1086" s="24" t="s">
        <v>677</v>
      </c>
      <c r="D1086" s="24" t="s">
        <v>233</v>
      </c>
      <c r="E1086" s="24" t="s">
        <v>1139</v>
      </c>
      <c r="F1086" s="58">
        <v>6</v>
      </c>
      <c r="G1086" s="111">
        <v>174.6</v>
      </c>
    </row>
    <row r="1087" spans="1:9">
      <c r="A1087"/>
      <c r="B1087" s="24">
        <v>20</v>
      </c>
      <c r="C1087" s="24" t="s">
        <v>86</v>
      </c>
      <c r="D1087" s="103" t="s">
        <v>1135</v>
      </c>
      <c r="E1087" s="24" t="s">
        <v>1139</v>
      </c>
      <c r="F1087" s="58">
        <v>1863</v>
      </c>
      <c r="G1087" s="111">
        <v>160.69999999999999</v>
      </c>
    </row>
    <row r="1088" spans="1:9">
      <c r="A1088"/>
      <c r="B1088" s="24">
        <v>20</v>
      </c>
      <c r="C1088" s="24" t="s">
        <v>86</v>
      </c>
      <c r="D1088" s="24" t="s">
        <v>233</v>
      </c>
      <c r="E1088" s="24" t="s">
        <v>1139</v>
      </c>
      <c r="F1088" s="58">
        <v>378</v>
      </c>
      <c r="G1088" s="111">
        <v>188.6</v>
      </c>
    </row>
    <row r="1089" spans="1:7">
      <c r="A1089"/>
      <c r="B1089" s="24">
        <v>20</v>
      </c>
      <c r="C1089" s="24" t="s">
        <v>1</v>
      </c>
      <c r="D1089" s="103" t="s">
        <v>1135</v>
      </c>
      <c r="E1089" s="24" t="s">
        <v>1139</v>
      </c>
      <c r="F1089" s="58">
        <v>890</v>
      </c>
      <c r="G1089" s="111">
        <v>144.6</v>
      </c>
    </row>
    <row r="1090" spans="1:7">
      <c r="A1090"/>
      <c r="B1090" s="24">
        <v>20</v>
      </c>
      <c r="C1090" s="24" t="s">
        <v>1</v>
      </c>
      <c r="D1090" s="24" t="s">
        <v>233</v>
      </c>
      <c r="E1090" s="24" t="s">
        <v>1139</v>
      </c>
      <c r="F1090" s="58">
        <v>620</v>
      </c>
      <c r="G1090" s="111">
        <v>169.61</v>
      </c>
    </row>
    <row r="1091" spans="1:7">
      <c r="A1091"/>
      <c r="B1091" s="24">
        <v>20</v>
      </c>
      <c r="C1091" s="24" t="s">
        <v>89</v>
      </c>
      <c r="D1091" s="103" t="s">
        <v>1135</v>
      </c>
      <c r="E1091" s="24" t="s">
        <v>1139</v>
      </c>
      <c r="F1091" s="58">
        <v>2940</v>
      </c>
      <c r="G1091" s="111">
        <v>165.12</v>
      </c>
    </row>
    <row r="1092" spans="1:7">
      <c r="A1092"/>
      <c r="B1092" s="24">
        <v>20</v>
      </c>
      <c r="C1092" s="24" t="s">
        <v>89</v>
      </c>
      <c r="D1092" s="24" t="s">
        <v>233</v>
      </c>
      <c r="E1092" s="24" t="s">
        <v>1139</v>
      </c>
      <c r="F1092" s="58">
        <v>36</v>
      </c>
      <c r="G1092" s="111">
        <v>194</v>
      </c>
    </row>
    <row r="1093" spans="1:7">
      <c r="A1093"/>
      <c r="B1093" s="24">
        <v>20</v>
      </c>
      <c r="C1093" s="24" t="s">
        <v>2</v>
      </c>
      <c r="D1093" s="103" t="s">
        <v>1135</v>
      </c>
      <c r="E1093" s="24" t="s">
        <v>1139</v>
      </c>
      <c r="F1093" s="58">
        <v>8074</v>
      </c>
      <c r="G1093" s="111">
        <v>182.3</v>
      </c>
    </row>
    <row r="1094" spans="1:7">
      <c r="A1094"/>
      <c r="B1094" s="24">
        <v>20</v>
      </c>
      <c r="C1094" s="24" t="s">
        <v>2</v>
      </c>
      <c r="D1094" s="24" t="s">
        <v>233</v>
      </c>
      <c r="E1094" s="24" t="s">
        <v>1139</v>
      </c>
      <c r="F1094" s="58">
        <v>300</v>
      </c>
      <c r="G1094" s="111">
        <v>214</v>
      </c>
    </row>
    <row r="1095" spans="1:7">
      <c r="A1095"/>
      <c r="B1095" s="24">
        <v>20</v>
      </c>
      <c r="C1095" s="24" t="s">
        <v>90</v>
      </c>
      <c r="D1095" s="103" t="s">
        <v>1135</v>
      </c>
      <c r="E1095" s="24" t="s">
        <v>1139</v>
      </c>
      <c r="F1095" s="58">
        <v>5063.5599999999995</v>
      </c>
      <c r="G1095" s="111">
        <v>195.6</v>
      </c>
    </row>
    <row r="1096" spans="1:7">
      <c r="A1096"/>
      <c r="B1096" s="24">
        <v>20</v>
      </c>
      <c r="C1096" s="24" t="s">
        <v>90</v>
      </c>
      <c r="D1096" s="24" t="s">
        <v>233</v>
      </c>
      <c r="E1096" s="24" t="s">
        <v>1139</v>
      </c>
      <c r="F1096" s="58">
        <v>3290</v>
      </c>
      <c r="G1096" s="111">
        <v>229.55</v>
      </c>
    </row>
    <row r="1097" spans="1:7">
      <c r="A1097"/>
      <c r="B1097" s="24">
        <v>20</v>
      </c>
      <c r="C1097" s="24" t="s">
        <v>678</v>
      </c>
      <c r="D1097" s="103" t="s">
        <v>1135</v>
      </c>
      <c r="E1097" s="24" t="s">
        <v>1139</v>
      </c>
      <c r="F1097" s="58">
        <v>1338.1</v>
      </c>
      <c r="G1097" s="111">
        <v>237</v>
      </c>
    </row>
    <row r="1098" spans="1:7">
      <c r="A1098"/>
      <c r="B1098" s="24">
        <v>20</v>
      </c>
      <c r="C1098" s="24" t="s">
        <v>678</v>
      </c>
      <c r="D1098" s="24" t="s">
        <v>233</v>
      </c>
      <c r="E1098" s="24" t="s">
        <v>1139</v>
      </c>
      <c r="F1098" s="58">
        <v>3</v>
      </c>
      <c r="G1098" s="111">
        <v>241.63</v>
      </c>
    </row>
    <row r="1099" spans="1:7">
      <c r="A1099"/>
      <c r="B1099" s="24" t="s">
        <v>234</v>
      </c>
      <c r="C1099" s="24" t="s">
        <v>678</v>
      </c>
      <c r="D1099" s="24" t="s">
        <v>233</v>
      </c>
      <c r="E1099" s="24" t="s">
        <v>1139</v>
      </c>
      <c r="F1099" s="58">
        <v>0</v>
      </c>
      <c r="G1099" s="111">
        <v>289</v>
      </c>
    </row>
    <row r="1100" spans="1:7">
      <c r="A1100"/>
      <c r="B1100" s="24">
        <v>20</v>
      </c>
      <c r="C1100" s="24" t="s">
        <v>1011</v>
      </c>
      <c r="D1100" s="103" t="s">
        <v>1135</v>
      </c>
      <c r="E1100" s="24" t="s">
        <v>1139</v>
      </c>
      <c r="F1100" s="59">
        <v>1014</v>
      </c>
      <c r="G1100" s="111">
        <v>192.72</v>
      </c>
    </row>
    <row r="1101" spans="1:7">
      <c r="A1101"/>
      <c r="B1101" s="24">
        <v>20</v>
      </c>
      <c r="C1101" s="24" t="s">
        <v>1011</v>
      </c>
      <c r="D1101" s="24" t="s">
        <v>233</v>
      </c>
      <c r="E1101" s="24" t="s">
        <v>1139</v>
      </c>
      <c r="F1101" s="58">
        <v>0</v>
      </c>
      <c r="G1101" s="111">
        <v>226.2</v>
      </c>
    </row>
    <row r="1102" spans="1:7">
      <c r="A1102"/>
      <c r="B1102" s="24">
        <v>20</v>
      </c>
      <c r="C1102" s="24" t="s">
        <v>679</v>
      </c>
      <c r="D1102" s="103" t="s">
        <v>1135</v>
      </c>
      <c r="E1102" s="24" t="s">
        <v>1139</v>
      </c>
      <c r="F1102" s="58">
        <v>4266.5</v>
      </c>
      <c r="G1102" s="111">
        <v>174.6</v>
      </c>
    </row>
    <row r="1103" spans="1:7">
      <c r="A1103"/>
      <c r="B1103" s="24">
        <v>20</v>
      </c>
      <c r="C1103" s="24" t="s">
        <v>679</v>
      </c>
      <c r="D1103" s="24" t="s">
        <v>233</v>
      </c>
      <c r="E1103" s="24" t="s">
        <v>1139</v>
      </c>
      <c r="F1103" s="58">
        <v>46.799999999999955</v>
      </c>
      <c r="G1103" s="111">
        <v>205</v>
      </c>
    </row>
    <row r="1104" spans="1:7">
      <c r="A1104"/>
      <c r="B1104" s="24">
        <v>20</v>
      </c>
      <c r="C1104" s="24" t="s">
        <v>680</v>
      </c>
      <c r="D1104" s="103" t="s">
        <v>1135</v>
      </c>
      <c r="E1104" s="24" t="s">
        <v>1139</v>
      </c>
      <c r="F1104" s="58">
        <v>10441.5</v>
      </c>
      <c r="G1104" s="111">
        <v>183.24</v>
      </c>
    </row>
    <row r="1105" spans="1:7">
      <c r="A1105"/>
      <c r="B1105" s="24">
        <v>20</v>
      </c>
      <c r="C1105" s="24" t="s">
        <v>680</v>
      </c>
      <c r="D1105" s="24" t="s">
        <v>233</v>
      </c>
      <c r="E1105" s="24" t="s">
        <v>1139</v>
      </c>
      <c r="F1105" s="58">
        <v>0</v>
      </c>
      <c r="G1105" s="111">
        <v>215</v>
      </c>
    </row>
    <row r="1106" spans="1:7">
      <c r="A1106"/>
      <c r="B1106" s="24" t="s">
        <v>234</v>
      </c>
      <c r="C1106" s="24" t="s">
        <v>680</v>
      </c>
      <c r="D1106" s="24" t="s">
        <v>233</v>
      </c>
      <c r="E1106" s="24" t="s">
        <v>1139</v>
      </c>
      <c r="F1106" s="58">
        <v>260.4799999999999</v>
      </c>
      <c r="G1106" s="111">
        <v>257.10000000000002</v>
      </c>
    </row>
    <row r="1107" spans="1:7">
      <c r="A1107"/>
      <c r="B1107" s="24">
        <v>20</v>
      </c>
      <c r="C1107" s="24" t="s">
        <v>91</v>
      </c>
      <c r="D1107" s="103" t="s">
        <v>1135</v>
      </c>
      <c r="E1107" s="24" t="s">
        <v>1139</v>
      </c>
      <c r="F1107" s="58">
        <v>6338.4999999999982</v>
      </c>
      <c r="G1107" s="111">
        <v>205.6</v>
      </c>
    </row>
    <row r="1108" spans="1:7">
      <c r="A1108"/>
      <c r="B1108" s="24">
        <v>20</v>
      </c>
      <c r="C1108" s="24" t="s">
        <v>91</v>
      </c>
      <c r="D1108" s="24" t="s">
        <v>233</v>
      </c>
      <c r="E1108" s="24" t="s">
        <v>1139</v>
      </c>
      <c r="F1108" s="58">
        <v>5.0999999999999801</v>
      </c>
      <c r="G1108" s="111">
        <v>241.21</v>
      </c>
    </row>
    <row r="1109" spans="1:7">
      <c r="A1109"/>
      <c r="B1109" s="24">
        <v>20</v>
      </c>
      <c r="C1109" s="24" t="s">
        <v>91</v>
      </c>
      <c r="D1109" s="104" t="s">
        <v>930</v>
      </c>
      <c r="E1109" s="24" t="s">
        <v>1139</v>
      </c>
      <c r="F1109" s="105">
        <v>832</v>
      </c>
      <c r="G1109" s="112">
        <v>134.9</v>
      </c>
    </row>
    <row r="1110" spans="1:7">
      <c r="A1110"/>
      <c r="B1110" s="24" t="s">
        <v>234</v>
      </c>
      <c r="C1110" s="24" t="s">
        <v>91</v>
      </c>
      <c r="D1110" s="24" t="s">
        <v>233</v>
      </c>
      <c r="E1110" s="24" t="s">
        <v>1139</v>
      </c>
      <c r="F1110" s="58">
        <v>302.71999999999991</v>
      </c>
      <c r="G1110" s="111">
        <v>288.51</v>
      </c>
    </row>
    <row r="1111" spans="1:7">
      <c r="A1111"/>
      <c r="B1111" s="24">
        <v>20</v>
      </c>
      <c r="C1111" s="24" t="s">
        <v>3</v>
      </c>
      <c r="D1111" s="103" t="s">
        <v>1135</v>
      </c>
      <c r="E1111" s="24" t="s">
        <v>1139</v>
      </c>
      <c r="F1111" s="58">
        <v>4792.63</v>
      </c>
      <c r="G1111" s="111">
        <v>224.28</v>
      </c>
    </row>
    <row r="1112" spans="1:7">
      <c r="A1112"/>
      <c r="B1112" s="24">
        <v>20</v>
      </c>
      <c r="C1112" s="24" t="s">
        <v>3</v>
      </c>
      <c r="D1112" s="24" t="s">
        <v>233</v>
      </c>
      <c r="E1112" s="24" t="s">
        <v>1139</v>
      </c>
      <c r="F1112" s="58">
        <v>1396</v>
      </c>
      <c r="G1112" s="111">
        <v>263.2</v>
      </c>
    </row>
    <row r="1113" spans="1:7">
      <c r="A1113"/>
      <c r="B1113" s="24">
        <v>20</v>
      </c>
      <c r="C1113" s="24" t="s">
        <v>681</v>
      </c>
      <c r="D1113" s="103" t="s">
        <v>1135</v>
      </c>
      <c r="E1113" s="24" t="s">
        <v>1139</v>
      </c>
      <c r="F1113" s="58">
        <v>1402.8499999999995</v>
      </c>
      <c r="G1113" s="111">
        <v>255</v>
      </c>
    </row>
    <row r="1114" spans="1:7">
      <c r="A1114"/>
      <c r="B1114" s="24">
        <v>20</v>
      </c>
      <c r="C1114" s="24" t="s">
        <v>681</v>
      </c>
      <c r="D1114" s="24" t="s">
        <v>233</v>
      </c>
      <c r="E1114" s="24" t="s">
        <v>1139</v>
      </c>
      <c r="F1114" s="58">
        <v>996</v>
      </c>
      <c r="G1114" s="111">
        <v>281.24</v>
      </c>
    </row>
    <row r="1115" spans="1:7">
      <c r="A1115"/>
      <c r="B1115" s="24" t="s">
        <v>234</v>
      </c>
      <c r="C1115" s="24" t="s">
        <v>681</v>
      </c>
      <c r="D1115" s="24" t="s">
        <v>233</v>
      </c>
      <c r="E1115" s="24" t="s">
        <v>1139</v>
      </c>
      <c r="F1115" s="58">
        <v>718.2</v>
      </c>
      <c r="G1115" s="111">
        <v>336.4</v>
      </c>
    </row>
    <row r="1116" spans="1:7">
      <c r="A1116"/>
      <c r="B1116" s="24">
        <v>20</v>
      </c>
      <c r="C1116" s="24" t="s">
        <v>954</v>
      </c>
      <c r="D1116" s="103" t="s">
        <v>1135</v>
      </c>
      <c r="E1116" s="24" t="s">
        <v>1139</v>
      </c>
      <c r="F1116" s="58">
        <v>1992</v>
      </c>
      <c r="G1116" s="111">
        <v>215.64</v>
      </c>
    </row>
    <row r="1117" spans="1:7">
      <c r="A1117"/>
      <c r="B1117" s="24">
        <v>20</v>
      </c>
      <c r="C1117" s="24" t="s">
        <v>954</v>
      </c>
      <c r="D1117" s="24" t="s">
        <v>233</v>
      </c>
      <c r="E1117" s="24" t="s">
        <v>1139</v>
      </c>
      <c r="F1117" s="58">
        <v>0</v>
      </c>
      <c r="G1117" s="111">
        <v>253</v>
      </c>
    </row>
    <row r="1118" spans="1:7">
      <c r="A1118"/>
      <c r="B1118" s="24">
        <v>20</v>
      </c>
      <c r="C1118" s="24" t="s">
        <v>826</v>
      </c>
      <c r="D1118" s="103" t="s">
        <v>1135</v>
      </c>
      <c r="E1118" s="24" t="s">
        <v>1139</v>
      </c>
      <c r="F1118" s="58">
        <v>3378</v>
      </c>
      <c r="G1118" s="111">
        <v>236.8</v>
      </c>
    </row>
    <row r="1119" spans="1:7">
      <c r="A1119"/>
      <c r="B1119" s="24">
        <v>20</v>
      </c>
      <c r="C1119" s="24" t="s">
        <v>826</v>
      </c>
      <c r="D1119" s="24" t="s">
        <v>233</v>
      </c>
      <c r="E1119" s="24" t="s">
        <v>1139</v>
      </c>
      <c r="F1119" s="58">
        <v>168</v>
      </c>
      <c r="G1119" s="111">
        <v>277.81</v>
      </c>
    </row>
    <row r="1120" spans="1:7">
      <c r="A1120"/>
      <c r="B1120" s="24">
        <v>20</v>
      </c>
      <c r="C1120" s="24" t="s">
        <v>1025</v>
      </c>
      <c r="D1120" s="103" t="s">
        <v>1135</v>
      </c>
      <c r="E1120" s="24" t="s">
        <v>1139</v>
      </c>
      <c r="F1120" s="58">
        <v>0</v>
      </c>
      <c r="G1120" s="111">
        <v>254.4</v>
      </c>
    </row>
    <row r="1121" spans="1:7">
      <c r="A1121"/>
      <c r="B1121" s="24">
        <v>20</v>
      </c>
      <c r="C1121" s="24" t="s">
        <v>1025</v>
      </c>
      <c r="D1121" s="24" t="s">
        <v>233</v>
      </c>
      <c r="E1121" s="24" t="s">
        <v>1139</v>
      </c>
      <c r="F1121" s="58">
        <v>0</v>
      </c>
      <c r="G1121" s="111">
        <v>298.55</v>
      </c>
    </row>
    <row r="1122" spans="1:7">
      <c r="A1122"/>
      <c r="B1122" s="24">
        <v>20</v>
      </c>
      <c r="C1122" s="24" t="s">
        <v>827</v>
      </c>
      <c r="D1122" s="103" t="s">
        <v>1135</v>
      </c>
      <c r="E1122" s="24" t="s">
        <v>1139</v>
      </c>
      <c r="F1122" s="58">
        <v>0</v>
      </c>
      <c r="G1122" s="111">
        <v>270.60000000000002</v>
      </c>
    </row>
    <row r="1123" spans="1:7">
      <c r="A1123"/>
      <c r="B1123" s="24">
        <v>20</v>
      </c>
      <c r="C1123" s="24" t="s">
        <v>827</v>
      </c>
      <c r="D1123" s="24" t="s">
        <v>233</v>
      </c>
      <c r="E1123" s="24" t="s">
        <v>1139</v>
      </c>
      <c r="F1123" s="58">
        <v>0</v>
      </c>
      <c r="G1123" s="111">
        <v>317.45</v>
      </c>
    </row>
    <row r="1124" spans="1:7">
      <c r="A1124"/>
      <c r="B1124" s="24">
        <v>20</v>
      </c>
      <c r="C1124" s="24" t="s">
        <v>92</v>
      </c>
      <c r="D1124" s="103" t="s">
        <v>1135</v>
      </c>
      <c r="E1124" s="24" t="s">
        <v>1139</v>
      </c>
      <c r="F1124" s="58">
        <v>4136.92</v>
      </c>
      <c r="G1124" s="111">
        <v>186</v>
      </c>
    </row>
    <row r="1125" spans="1:7">
      <c r="A1125"/>
      <c r="B1125" s="24">
        <v>20</v>
      </c>
      <c r="C1125" s="24" t="s">
        <v>92</v>
      </c>
      <c r="D1125" s="24" t="s">
        <v>233</v>
      </c>
      <c r="E1125" s="24" t="s">
        <v>1139</v>
      </c>
      <c r="F1125" s="58">
        <v>39.1</v>
      </c>
      <c r="G1125" s="111">
        <v>218.2</v>
      </c>
    </row>
    <row r="1126" spans="1:7">
      <c r="A1126"/>
      <c r="B1126" s="24">
        <v>20</v>
      </c>
      <c r="C1126" s="24" t="s">
        <v>92</v>
      </c>
      <c r="D1126" s="104" t="s">
        <v>930</v>
      </c>
      <c r="E1126" s="24" t="s">
        <v>1139</v>
      </c>
      <c r="F1126" s="105">
        <v>113</v>
      </c>
      <c r="G1126" s="112">
        <v>139.19999999999999</v>
      </c>
    </row>
    <row r="1127" spans="1:7">
      <c r="A1127"/>
      <c r="B1127" s="24">
        <v>20</v>
      </c>
      <c r="C1127" s="24" t="s">
        <v>4</v>
      </c>
      <c r="D1127" s="103" t="s">
        <v>1135</v>
      </c>
      <c r="E1127" s="24" t="s">
        <v>1139</v>
      </c>
      <c r="F1127" s="58">
        <v>1961.9999999999991</v>
      </c>
      <c r="G1127" s="111">
        <v>198.24</v>
      </c>
    </row>
    <row r="1128" spans="1:7">
      <c r="A1128"/>
      <c r="B1128" s="24">
        <v>20</v>
      </c>
      <c r="C1128" s="24" t="s">
        <v>4</v>
      </c>
      <c r="D1128" s="24" t="s">
        <v>233</v>
      </c>
      <c r="E1128" s="24" t="s">
        <v>1139</v>
      </c>
      <c r="F1128" s="58">
        <v>198</v>
      </c>
      <c r="G1128" s="111">
        <v>232.6</v>
      </c>
    </row>
    <row r="1129" spans="1:7">
      <c r="A1129"/>
      <c r="B1129" s="24">
        <v>20</v>
      </c>
      <c r="C1129" s="24" t="s">
        <v>5</v>
      </c>
      <c r="D1129" s="103" t="s">
        <v>1135</v>
      </c>
      <c r="E1129" s="24" t="s">
        <v>1139</v>
      </c>
      <c r="F1129" s="58">
        <v>10890</v>
      </c>
      <c r="G1129" s="111">
        <v>225.5</v>
      </c>
    </row>
    <row r="1130" spans="1:7">
      <c r="A1130"/>
      <c r="B1130" s="24">
        <v>20</v>
      </c>
      <c r="C1130" s="24" t="s">
        <v>5</v>
      </c>
      <c r="D1130" s="24" t="s">
        <v>233</v>
      </c>
      <c r="E1130" s="24" t="s">
        <v>1139</v>
      </c>
      <c r="F1130" s="58">
        <v>0</v>
      </c>
      <c r="G1130" s="111">
        <v>264.64</v>
      </c>
    </row>
    <row r="1131" spans="1:7">
      <c r="A1131"/>
      <c r="B1131" s="24" t="s">
        <v>234</v>
      </c>
      <c r="C1131" s="24" t="s">
        <v>5</v>
      </c>
      <c r="D1131" s="24" t="s">
        <v>233</v>
      </c>
      <c r="E1131" s="24" t="s">
        <v>1139</v>
      </c>
      <c r="F1131" s="58">
        <v>4055.3999999999996</v>
      </c>
      <c r="G1131" s="111">
        <v>308.75</v>
      </c>
    </row>
    <row r="1132" spans="1:7">
      <c r="A1132"/>
      <c r="B1132" s="24">
        <v>20</v>
      </c>
      <c r="C1132" s="24" t="s">
        <v>5</v>
      </c>
      <c r="D1132" s="34" t="s">
        <v>938</v>
      </c>
      <c r="E1132" s="24" t="s">
        <v>1139</v>
      </c>
      <c r="F1132" s="58">
        <v>899</v>
      </c>
      <c r="G1132" s="111">
        <v>189.34</v>
      </c>
    </row>
    <row r="1133" spans="1:7">
      <c r="A1133"/>
      <c r="B1133" s="24">
        <v>20</v>
      </c>
      <c r="C1133" s="24" t="s">
        <v>6</v>
      </c>
      <c r="D1133" s="103" t="s">
        <v>1135</v>
      </c>
      <c r="E1133" s="24" t="s">
        <v>1139</v>
      </c>
      <c r="F1133" s="60">
        <v>23.10399999999845</v>
      </c>
      <c r="G1133" s="111">
        <v>249</v>
      </c>
    </row>
    <row r="1134" spans="1:7">
      <c r="A1134"/>
      <c r="B1134" s="24">
        <v>20</v>
      </c>
      <c r="C1134" s="24" t="s">
        <v>6</v>
      </c>
      <c r="D1134" s="24" t="s">
        <v>233</v>
      </c>
      <c r="E1134" s="24" t="s">
        <v>1139</v>
      </c>
      <c r="F1134" s="60">
        <v>55</v>
      </c>
      <c r="G1134" s="111">
        <v>292.11</v>
      </c>
    </row>
    <row r="1135" spans="1:7">
      <c r="A1135"/>
      <c r="B1135" s="24">
        <v>20</v>
      </c>
      <c r="C1135" s="24" t="s">
        <v>7</v>
      </c>
      <c r="D1135" s="103" t="s">
        <v>1135</v>
      </c>
      <c r="E1135" s="24" t="s">
        <v>1139</v>
      </c>
      <c r="F1135" s="60">
        <v>3932.2000000000007</v>
      </c>
      <c r="G1135" s="111">
        <v>269</v>
      </c>
    </row>
    <row r="1136" spans="1:7">
      <c r="A1136"/>
      <c r="B1136" s="24">
        <v>20</v>
      </c>
      <c r="C1136" s="24" t="s">
        <v>7</v>
      </c>
      <c r="D1136" s="24" t="s">
        <v>233</v>
      </c>
      <c r="E1136" s="24" t="s">
        <v>1139</v>
      </c>
      <c r="F1136" s="60">
        <v>0</v>
      </c>
      <c r="G1136" s="111">
        <v>315.55</v>
      </c>
    </row>
    <row r="1137" spans="1:7">
      <c r="A1137"/>
      <c r="B1137" s="24" t="s">
        <v>234</v>
      </c>
      <c r="C1137" s="24" t="s">
        <v>7</v>
      </c>
      <c r="D1137" s="24" t="s">
        <v>233</v>
      </c>
      <c r="E1137" s="24" t="s">
        <v>1139</v>
      </c>
      <c r="F1137" s="60">
        <v>492.99000000000012</v>
      </c>
      <c r="G1137" s="111">
        <v>377.42</v>
      </c>
    </row>
    <row r="1138" spans="1:7">
      <c r="A1138"/>
      <c r="B1138" s="24">
        <v>20</v>
      </c>
      <c r="C1138" s="24" t="s">
        <v>682</v>
      </c>
      <c r="D1138" s="103" t="s">
        <v>1135</v>
      </c>
      <c r="E1138" s="24" t="s">
        <v>1139</v>
      </c>
      <c r="F1138" s="60">
        <v>1988.6999999999998</v>
      </c>
      <c r="G1138" s="111">
        <v>287.52</v>
      </c>
    </row>
    <row r="1139" spans="1:7">
      <c r="A1139"/>
      <c r="B1139" s="24">
        <v>20</v>
      </c>
      <c r="C1139" s="24" t="s">
        <v>682</v>
      </c>
      <c r="D1139" s="24" t="s">
        <v>233</v>
      </c>
      <c r="E1139" s="24" t="s">
        <v>1139</v>
      </c>
      <c r="F1139" s="60">
        <v>10</v>
      </c>
      <c r="G1139" s="111">
        <v>337.35</v>
      </c>
    </row>
    <row r="1140" spans="1:7">
      <c r="A1140"/>
      <c r="B1140" s="24">
        <v>20</v>
      </c>
      <c r="C1140" s="24" t="s">
        <v>828</v>
      </c>
      <c r="D1140" s="103" t="s">
        <v>1135</v>
      </c>
      <c r="E1140" s="24" t="s">
        <v>1139</v>
      </c>
      <c r="F1140" s="60">
        <v>1262</v>
      </c>
      <c r="G1140" s="111">
        <v>191.16</v>
      </c>
    </row>
    <row r="1141" spans="1:7">
      <c r="A1141"/>
      <c r="B1141" s="24">
        <v>20</v>
      </c>
      <c r="C1141" s="24" t="s">
        <v>828</v>
      </c>
      <c r="D1141" s="24" t="s">
        <v>233</v>
      </c>
      <c r="E1141" s="24" t="s">
        <v>1139</v>
      </c>
      <c r="F1141" s="60">
        <v>0</v>
      </c>
      <c r="G1141" s="111">
        <v>224.33</v>
      </c>
    </row>
    <row r="1142" spans="1:7">
      <c r="A1142"/>
      <c r="B1142" s="24">
        <v>20</v>
      </c>
      <c r="C1142" s="24" t="s">
        <v>93</v>
      </c>
      <c r="D1142" s="103" t="s">
        <v>1135</v>
      </c>
      <c r="E1142" s="24" t="s">
        <v>1139</v>
      </c>
      <c r="F1142" s="60">
        <v>2717.9999999999991</v>
      </c>
      <c r="G1142" s="111">
        <v>205.44</v>
      </c>
    </row>
    <row r="1143" spans="1:7">
      <c r="A1143"/>
      <c r="B1143" s="24">
        <v>20</v>
      </c>
      <c r="C1143" s="24" t="s">
        <v>93</v>
      </c>
      <c r="D1143" s="24" t="s">
        <v>233</v>
      </c>
      <c r="E1143" s="24" t="s">
        <v>1139</v>
      </c>
      <c r="F1143" s="60">
        <v>276</v>
      </c>
      <c r="G1143" s="111">
        <v>241</v>
      </c>
    </row>
    <row r="1144" spans="1:7">
      <c r="A1144"/>
      <c r="B1144" s="24">
        <v>20</v>
      </c>
      <c r="C1144" s="24" t="s">
        <v>683</v>
      </c>
      <c r="D1144" s="103" t="s">
        <v>1135</v>
      </c>
      <c r="E1144" s="24" t="s">
        <v>1139</v>
      </c>
      <c r="F1144" s="60">
        <v>582</v>
      </c>
      <c r="G1144" s="111">
        <v>235.32</v>
      </c>
    </row>
    <row r="1145" spans="1:7">
      <c r="A1145"/>
      <c r="B1145" s="24">
        <v>20</v>
      </c>
      <c r="C1145" s="24" t="s">
        <v>683</v>
      </c>
      <c r="D1145" s="24" t="s">
        <v>233</v>
      </c>
      <c r="E1145" s="24" t="s">
        <v>1139</v>
      </c>
      <c r="F1145" s="60">
        <v>0</v>
      </c>
      <c r="G1145" s="111">
        <v>276.2</v>
      </c>
    </row>
    <row r="1146" spans="1:7">
      <c r="A1146"/>
      <c r="B1146" s="24">
        <v>20</v>
      </c>
      <c r="C1146" s="24" t="s">
        <v>684</v>
      </c>
      <c r="D1146" s="103" t="s">
        <v>1135</v>
      </c>
      <c r="E1146" s="24" t="s">
        <v>1139</v>
      </c>
      <c r="F1146" s="60">
        <v>1.4566126083082054E-12</v>
      </c>
      <c r="G1146" s="111">
        <v>261</v>
      </c>
    </row>
    <row r="1147" spans="1:7">
      <c r="A1147"/>
      <c r="B1147" s="24">
        <v>20</v>
      </c>
      <c r="C1147" s="24" t="s">
        <v>684</v>
      </c>
      <c r="D1147" s="24" t="s">
        <v>233</v>
      </c>
      <c r="E1147" s="24" t="s">
        <v>1139</v>
      </c>
      <c r="F1147" s="60">
        <v>12</v>
      </c>
      <c r="G1147" s="111">
        <v>306.22000000000003</v>
      </c>
    </row>
    <row r="1148" spans="1:7">
      <c r="A1148"/>
      <c r="B1148" s="24" t="s">
        <v>234</v>
      </c>
      <c r="C1148" s="24" t="s">
        <v>803</v>
      </c>
      <c r="D1148" s="24" t="s">
        <v>233</v>
      </c>
      <c r="E1148" s="24" t="s">
        <v>1139</v>
      </c>
      <c r="F1148" s="60">
        <v>8</v>
      </c>
      <c r="G1148" s="111">
        <v>386</v>
      </c>
    </row>
    <row r="1149" spans="1:7">
      <c r="A1149"/>
      <c r="B1149" s="24">
        <v>20</v>
      </c>
      <c r="C1149" s="24" t="s">
        <v>137</v>
      </c>
      <c r="D1149" s="103" t="s">
        <v>1135</v>
      </c>
      <c r="E1149" s="24" t="s">
        <v>1139</v>
      </c>
      <c r="F1149" s="60">
        <v>468.45000000000073</v>
      </c>
      <c r="G1149" s="111">
        <v>325.83999999999997</v>
      </c>
    </row>
    <row r="1150" spans="1:7">
      <c r="A1150"/>
      <c r="B1150" s="24">
        <v>20</v>
      </c>
      <c r="C1150" s="24" t="s">
        <v>137</v>
      </c>
      <c r="D1150" s="24" t="s">
        <v>233</v>
      </c>
      <c r="E1150" s="24" t="s">
        <v>1139</v>
      </c>
      <c r="F1150" s="60">
        <v>18</v>
      </c>
      <c r="G1150" s="111">
        <v>332.35</v>
      </c>
    </row>
    <row r="1151" spans="1:7">
      <c r="A1151"/>
      <c r="B1151" s="24" t="s">
        <v>234</v>
      </c>
      <c r="C1151" s="24" t="s">
        <v>137</v>
      </c>
      <c r="D1151" s="24" t="s">
        <v>233</v>
      </c>
      <c r="E1151" s="24" t="s">
        <v>1139</v>
      </c>
      <c r="F1151" s="60">
        <v>9.0000000000000142</v>
      </c>
      <c r="G1151" s="111">
        <v>397.52</v>
      </c>
    </row>
    <row r="1152" spans="1:7">
      <c r="A1152"/>
      <c r="B1152" s="24">
        <v>20</v>
      </c>
      <c r="C1152" s="24" t="s">
        <v>685</v>
      </c>
      <c r="D1152" s="103" t="s">
        <v>1135</v>
      </c>
      <c r="E1152" s="24" t="s">
        <v>1139</v>
      </c>
      <c r="F1152" s="60">
        <v>2987</v>
      </c>
      <c r="G1152" s="111">
        <v>372.25</v>
      </c>
    </row>
    <row r="1153" spans="1:7">
      <c r="A1153"/>
      <c r="B1153" s="24">
        <v>20</v>
      </c>
      <c r="C1153" s="24" t="s">
        <v>685</v>
      </c>
      <c r="D1153" s="24" t="s">
        <v>233</v>
      </c>
      <c r="E1153" s="24" t="s">
        <v>1139</v>
      </c>
      <c r="F1153" s="60">
        <v>72</v>
      </c>
      <c r="G1153" s="111">
        <v>379.7</v>
      </c>
    </row>
    <row r="1154" spans="1:7">
      <c r="A1154"/>
      <c r="B1154" s="24">
        <v>20</v>
      </c>
      <c r="C1154" s="24" t="s">
        <v>686</v>
      </c>
      <c r="D1154" s="103" t="s">
        <v>1135</v>
      </c>
      <c r="E1154" s="24" t="s">
        <v>1139</v>
      </c>
      <c r="F1154" s="60">
        <v>1056.4499999999989</v>
      </c>
      <c r="G1154" s="111">
        <v>177</v>
      </c>
    </row>
    <row r="1155" spans="1:7">
      <c r="A1155"/>
      <c r="B1155" s="24">
        <v>20</v>
      </c>
      <c r="C1155" s="24" t="s">
        <v>686</v>
      </c>
      <c r="D1155" s="24" t="s">
        <v>233</v>
      </c>
      <c r="E1155" s="24" t="s">
        <v>1139</v>
      </c>
      <c r="F1155" s="60">
        <v>3.5000000000000142</v>
      </c>
      <c r="G1155" s="111">
        <v>207.7</v>
      </c>
    </row>
    <row r="1156" spans="1:7">
      <c r="A1156"/>
      <c r="B1156" s="24">
        <v>20</v>
      </c>
      <c r="C1156" s="24" t="s">
        <v>8</v>
      </c>
      <c r="D1156" s="103" t="s">
        <v>1135</v>
      </c>
      <c r="E1156" s="24" t="s">
        <v>1139</v>
      </c>
      <c r="F1156" s="60">
        <v>7729.0000000000018</v>
      </c>
      <c r="G1156" s="111">
        <v>212.8</v>
      </c>
    </row>
    <row r="1157" spans="1:7">
      <c r="A1157"/>
      <c r="B1157" s="24">
        <v>20</v>
      </c>
      <c r="C1157" s="24" t="s">
        <v>8</v>
      </c>
      <c r="D1157" s="24" t="s">
        <v>233</v>
      </c>
      <c r="E1157" s="24" t="s">
        <v>1139</v>
      </c>
      <c r="F1157" s="60">
        <v>28.000000000000085</v>
      </c>
      <c r="G1157" s="111">
        <v>249.71</v>
      </c>
    </row>
    <row r="1158" spans="1:7">
      <c r="A1158"/>
      <c r="B1158" s="24">
        <v>20</v>
      </c>
      <c r="C1158" s="24" t="s">
        <v>687</v>
      </c>
      <c r="D1158" s="103" t="s">
        <v>1135</v>
      </c>
      <c r="E1158" s="24" t="s">
        <v>1139</v>
      </c>
      <c r="F1158" s="60">
        <v>7580</v>
      </c>
      <c r="G1158" s="111">
        <v>244.8</v>
      </c>
    </row>
    <row r="1159" spans="1:7">
      <c r="A1159"/>
      <c r="B1159" s="24">
        <v>20</v>
      </c>
      <c r="C1159" s="24" t="s">
        <v>687</v>
      </c>
      <c r="D1159" s="24" t="s">
        <v>233</v>
      </c>
      <c r="E1159" s="24" t="s">
        <v>1139</v>
      </c>
      <c r="F1159" s="60">
        <v>482.90000000000009</v>
      </c>
      <c r="G1159" s="111">
        <v>287.31</v>
      </c>
    </row>
    <row r="1160" spans="1:7">
      <c r="A1160"/>
      <c r="B1160" s="24" t="s">
        <v>234</v>
      </c>
      <c r="C1160" s="24" t="s">
        <v>687</v>
      </c>
      <c r="D1160" s="24" t="s">
        <v>233</v>
      </c>
      <c r="E1160" s="24" t="s">
        <v>1139</v>
      </c>
      <c r="F1160" s="60">
        <v>3399.71</v>
      </c>
      <c r="G1160" s="111">
        <v>343.64</v>
      </c>
    </row>
    <row r="1161" spans="1:7">
      <c r="A1161"/>
      <c r="B1161" s="24">
        <v>20</v>
      </c>
      <c r="C1161" s="24" t="s">
        <v>9</v>
      </c>
      <c r="D1161" s="103" t="s">
        <v>1135</v>
      </c>
      <c r="E1161" s="24" t="s">
        <v>1139</v>
      </c>
      <c r="F1161" s="60">
        <v>1079.4029999999984</v>
      </c>
      <c r="G1161" s="111">
        <v>273</v>
      </c>
    </row>
    <row r="1162" spans="1:7">
      <c r="A1162"/>
      <c r="B1162" s="24">
        <v>20</v>
      </c>
      <c r="C1162" s="24" t="s">
        <v>9</v>
      </c>
      <c r="D1162" s="24" t="s">
        <v>233</v>
      </c>
      <c r="E1162" s="24" t="s">
        <v>1139</v>
      </c>
      <c r="F1162" s="60">
        <v>29.399999999999956</v>
      </c>
      <c r="G1162" s="111">
        <v>320.14</v>
      </c>
    </row>
    <row r="1163" spans="1:7">
      <c r="A1163"/>
      <c r="B1163" s="24">
        <v>20</v>
      </c>
      <c r="C1163" s="24" t="s">
        <v>688</v>
      </c>
      <c r="D1163" s="103" t="s">
        <v>1135</v>
      </c>
      <c r="E1163" s="24" t="s">
        <v>1139</v>
      </c>
      <c r="F1163" s="60">
        <v>1349.1599999999999</v>
      </c>
      <c r="G1163" s="111">
        <v>297.24</v>
      </c>
    </row>
    <row r="1164" spans="1:7">
      <c r="A1164"/>
      <c r="B1164" s="24">
        <v>20</v>
      </c>
      <c r="C1164" s="24" t="s">
        <v>688</v>
      </c>
      <c r="D1164" s="24" t="s">
        <v>233</v>
      </c>
      <c r="E1164" s="24" t="s">
        <v>1139</v>
      </c>
      <c r="F1164" s="60">
        <v>48</v>
      </c>
      <c r="G1164" s="111">
        <v>348.8</v>
      </c>
    </row>
    <row r="1165" spans="1:7">
      <c r="A1165"/>
      <c r="B1165" s="24" t="s">
        <v>234</v>
      </c>
      <c r="C1165" s="24" t="s">
        <v>688</v>
      </c>
      <c r="D1165" s="24" t="s">
        <v>233</v>
      </c>
      <c r="E1165" s="24" t="s">
        <v>1139</v>
      </c>
      <c r="F1165" s="60">
        <v>420.69999999999993</v>
      </c>
      <c r="G1165" s="111">
        <v>417.15</v>
      </c>
    </row>
    <row r="1166" spans="1:7">
      <c r="A1166"/>
      <c r="B1166" s="24">
        <v>20</v>
      </c>
      <c r="C1166" s="24" t="s">
        <v>689</v>
      </c>
      <c r="D1166" s="103" t="s">
        <v>1135</v>
      </c>
      <c r="E1166" s="24" t="s">
        <v>1139</v>
      </c>
      <c r="F1166" s="60">
        <v>342.70000000000118</v>
      </c>
      <c r="G1166" s="111">
        <v>369</v>
      </c>
    </row>
    <row r="1167" spans="1:7">
      <c r="A1167"/>
      <c r="B1167" s="24">
        <v>20</v>
      </c>
      <c r="C1167" s="24" t="s">
        <v>689</v>
      </c>
      <c r="D1167" s="24" t="s">
        <v>233</v>
      </c>
      <c r="E1167" s="24" t="s">
        <v>1139</v>
      </c>
      <c r="F1167" s="60">
        <v>72.800000000000011</v>
      </c>
      <c r="G1167" s="111">
        <v>376.25</v>
      </c>
    </row>
    <row r="1168" spans="1:7">
      <c r="A1168"/>
      <c r="B1168" s="24">
        <v>20</v>
      </c>
      <c r="C1168" s="24" t="s">
        <v>690</v>
      </c>
      <c r="D1168" s="103" t="s">
        <v>1135</v>
      </c>
      <c r="E1168" s="24" t="s">
        <v>1139</v>
      </c>
      <c r="F1168" s="60">
        <v>3227.5600000000004</v>
      </c>
      <c r="G1168" s="111">
        <v>394</v>
      </c>
    </row>
    <row r="1169" spans="1:7">
      <c r="A1169"/>
      <c r="B1169" s="24">
        <v>20</v>
      </c>
      <c r="C1169" s="24" t="s">
        <v>690</v>
      </c>
      <c r="D1169" s="24" t="s">
        <v>233</v>
      </c>
      <c r="E1169" s="24" t="s">
        <v>1139</v>
      </c>
      <c r="F1169" s="60">
        <v>156</v>
      </c>
      <c r="G1169" s="111">
        <v>402</v>
      </c>
    </row>
    <row r="1170" spans="1:7">
      <c r="A1170"/>
      <c r="B1170" s="24" t="s">
        <v>234</v>
      </c>
      <c r="C1170" s="24" t="s">
        <v>690</v>
      </c>
      <c r="D1170" s="24" t="s">
        <v>233</v>
      </c>
      <c r="E1170" s="24" t="s">
        <v>1139</v>
      </c>
      <c r="F1170" s="60">
        <v>243.11999999999986</v>
      </c>
      <c r="G1170" s="111">
        <v>480.5</v>
      </c>
    </row>
    <row r="1171" spans="1:7">
      <c r="A1171"/>
      <c r="B1171" s="24">
        <v>20</v>
      </c>
      <c r="C1171" s="24" t="s">
        <v>691</v>
      </c>
      <c r="D1171" s="103" t="s">
        <v>1135</v>
      </c>
      <c r="E1171" s="24" t="s">
        <v>1139</v>
      </c>
      <c r="F1171" s="60">
        <v>-4.2632564145606011E-14</v>
      </c>
      <c r="G1171" s="111">
        <v>435.45</v>
      </c>
    </row>
    <row r="1172" spans="1:7">
      <c r="A1172"/>
      <c r="B1172" s="24">
        <v>20</v>
      </c>
      <c r="C1172" s="24" t="s">
        <v>691</v>
      </c>
      <c r="D1172" s="24" t="s">
        <v>233</v>
      </c>
      <c r="E1172" s="24" t="s">
        <v>1139</v>
      </c>
      <c r="F1172" s="60">
        <v>20</v>
      </c>
      <c r="G1172" s="111">
        <v>444.2</v>
      </c>
    </row>
    <row r="1173" spans="1:7">
      <c r="A1173"/>
      <c r="B1173" s="24">
        <v>20</v>
      </c>
      <c r="C1173" s="24" t="s">
        <v>829</v>
      </c>
      <c r="D1173" s="103" t="s">
        <v>1135</v>
      </c>
      <c r="E1173" s="24" t="s">
        <v>1139</v>
      </c>
      <c r="F1173" s="60">
        <v>1469.6000000000001</v>
      </c>
      <c r="G1173" s="111">
        <v>210.72</v>
      </c>
    </row>
    <row r="1174" spans="1:7">
      <c r="A1174"/>
      <c r="B1174" s="24">
        <v>20</v>
      </c>
      <c r="C1174" s="24" t="s">
        <v>829</v>
      </c>
      <c r="D1174" s="24" t="s">
        <v>233</v>
      </c>
      <c r="E1174" s="24" t="s">
        <v>1139</v>
      </c>
      <c r="F1174" s="60">
        <v>282</v>
      </c>
      <c r="G1174" s="111">
        <v>255</v>
      </c>
    </row>
    <row r="1175" spans="1:7">
      <c r="A1175"/>
      <c r="B1175" s="24">
        <v>20</v>
      </c>
      <c r="C1175" s="24" t="s">
        <v>804</v>
      </c>
      <c r="D1175" s="103" t="s">
        <v>1135</v>
      </c>
      <c r="E1175" s="24" t="s">
        <v>1139</v>
      </c>
      <c r="F1175" s="60">
        <v>6441.92</v>
      </c>
      <c r="G1175" s="111">
        <v>244</v>
      </c>
    </row>
    <row r="1176" spans="1:7">
      <c r="A1176"/>
      <c r="B1176" s="24">
        <v>20</v>
      </c>
      <c r="C1176" s="24" t="s">
        <v>804</v>
      </c>
      <c r="D1176" s="24" t="s">
        <v>233</v>
      </c>
      <c r="E1176" s="24" t="s">
        <v>1139</v>
      </c>
      <c r="F1176" s="60">
        <v>36</v>
      </c>
      <c r="G1176" s="111">
        <v>286.10000000000002</v>
      </c>
    </row>
    <row r="1177" spans="1:7">
      <c r="A1177"/>
      <c r="B1177" s="24">
        <v>20</v>
      </c>
      <c r="C1177" s="24" t="s">
        <v>96</v>
      </c>
      <c r="D1177" s="103" t="s">
        <v>1135</v>
      </c>
      <c r="E1177" s="24" t="s">
        <v>1139</v>
      </c>
      <c r="F1177" s="60">
        <v>972</v>
      </c>
      <c r="G1177" s="111">
        <v>343.1</v>
      </c>
    </row>
    <row r="1178" spans="1:7">
      <c r="A1178"/>
      <c r="B1178" s="24">
        <v>20</v>
      </c>
      <c r="C1178" s="24" t="s">
        <v>96</v>
      </c>
      <c r="D1178" s="24" t="s">
        <v>233</v>
      </c>
      <c r="E1178" s="24" t="s">
        <v>1139</v>
      </c>
      <c r="F1178" s="60">
        <v>36</v>
      </c>
      <c r="G1178" s="111">
        <v>350</v>
      </c>
    </row>
    <row r="1179" spans="1:7">
      <c r="A1179"/>
      <c r="B1179" s="30">
        <v>20</v>
      </c>
      <c r="C1179" s="24" t="s">
        <v>97</v>
      </c>
      <c r="D1179" s="103" t="s">
        <v>1135</v>
      </c>
      <c r="E1179" s="24" t="s">
        <v>1139</v>
      </c>
      <c r="F1179" s="60">
        <v>12</v>
      </c>
      <c r="G1179" s="111">
        <v>178.6</v>
      </c>
    </row>
    <row r="1180" spans="1:7">
      <c r="A1180"/>
      <c r="B1180" s="30">
        <v>20</v>
      </c>
      <c r="C1180" s="24" t="s">
        <v>97</v>
      </c>
      <c r="D1180" s="24" t="s">
        <v>233</v>
      </c>
      <c r="E1180" s="24" t="s">
        <v>1139</v>
      </c>
      <c r="F1180" s="60">
        <v>0</v>
      </c>
      <c r="G1180" s="111">
        <v>209.51</v>
      </c>
    </row>
    <row r="1181" spans="1:7">
      <c r="A1181"/>
      <c r="B1181" s="30">
        <v>20</v>
      </c>
      <c r="C1181" s="24" t="s">
        <v>164</v>
      </c>
      <c r="D1181" s="103" t="s">
        <v>1135</v>
      </c>
      <c r="E1181" s="24" t="s">
        <v>1139</v>
      </c>
      <c r="F1181" s="60">
        <v>13020.699999999997</v>
      </c>
      <c r="G1181" s="111">
        <v>217.44</v>
      </c>
    </row>
    <row r="1182" spans="1:7">
      <c r="A1182"/>
      <c r="B1182" s="30">
        <v>20</v>
      </c>
      <c r="C1182" s="24" t="s">
        <v>164</v>
      </c>
      <c r="D1182" s="24" t="s">
        <v>233</v>
      </c>
      <c r="E1182" s="24" t="s">
        <v>1139</v>
      </c>
      <c r="F1182" s="60">
        <v>312</v>
      </c>
      <c r="G1182" s="111">
        <v>263.63</v>
      </c>
    </row>
    <row r="1183" spans="1:7">
      <c r="A1183"/>
      <c r="B1183" s="24">
        <v>20</v>
      </c>
      <c r="C1183" s="24" t="s">
        <v>10</v>
      </c>
      <c r="D1183" s="103" t="s">
        <v>1135</v>
      </c>
      <c r="E1183" s="24" t="s">
        <v>1139</v>
      </c>
      <c r="F1183" s="60">
        <v>19945</v>
      </c>
      <c r="G1183" s="111">
        <v>252.5</v>
      </c>
    </row>
    <row r="1184" spans="1:7">
      <c r="A1184"/>
      <c r="B1184" s="24">
        <v>20</v>
      </c>
      <c r="C1184" s="24" t="s">
        <v>10</v>
      </c>
      <c r="D1184" s="24" t="s">
        <v>233</v>
      </c>
      <c r="E1184" s="24" t="s">
        <v>1139</v>
      </c>
      <c r="F1184" s="60">
        <v>117</v>
      </c>
      <c r="G1184" s="111">
        <v>296.24</v>
      </c>
    </row>
    <row r="1185" spans="1:7">
      <c r="A1185"/>
      <c r="B1185" s="24" t="s">
        <v>234</v>
      </c>
      <c r="C1185" s="24" t="s">
        <v>10</v>
      </c>
      <c r="D1185" s="24" t="s">
        <v>233</v>
      </c>
      <c r="E1185" s="24" t="s">
        <v>1139</v>
      </c>
      <c r="F1185" s="60">
        <v>210.37999999999985</v>
      </c>
      <c r="G1185" s="111">
        <v>354.33</v>
      </c>
    </row>
    <row r="1186" spans="1:7">
      <c r="A1186"/>
      <c r="B1186" s="24">
        <v>20</v>
      </c>
      <c r="C1186" s="24" t="s">
        <v>183</v>
      </c>
      <c r="D1186" s="103" t="s">
        <v>1135</v>
      </c>
      <c r="E1186" s="24" t="s">
        <v>1139</v>
      </c>
      <c r="F1186" s="60">
        <v>2909.9999999999991</v>
      </c>
      <c r="G1186" s="111">
        <v>283.60000000000002</v>
      </c>
    </row>
    <row r="1187" spans="1:7">
      <c r="A1187"/>
      <c r="B1187" s="24">
        <v>20</v>
      </c>
      <c r="C1187" s="24" t="s">
        <v>183</v>
      </c>
      <c r="D1187" s="24" t="s">
        <v>233</v>
      </c>
      <c r="E1187" s="24" t="s">
        <v>1139</v>
      </c>
      <c r="F1187" s="60">
        <v>408</v>
      </c>
      <c r="G1187" s="111">
        <v>332.72</v>
      </c>
    </row>
    <row r="1188" spans="1:7">
      <c r="A1188"/>
      <c r="B1188" s="24">
        <v>20</v>
      </c>
      <c r="C1188" s="24" t="s">
        <v>11</v>
      </c>
      <c r="D1188" s="103" t="s">
        <v>1135</v>
      </c>
      <c r="E1188" s="24" t="s">
        <v>1139</v>
      </c>
      <c r="F1188" s="60">
        <v>3520</v>
      </c>
      <c r="G1188" s="111">
        <v>311</v>
      </c>
    </row>
    <row r="1189" spans="1:7">
      <c r="A1189"/>
      <c r="B1189" s="24">
        <v>20</v>
      </c>
      <c r="C1189" s="24" t="s">
        <v>11</v>
      </c>
      <c r="D1189" s="24" t="s">
        <v>233</v>
      </c>
      <c r="E1189" s="24" t="s">
        <v>1139</v>
      </c>
      <c r="F1189" s="60">
        <v>0</v>
      </c>
      <c r="G1189" s="111">
        <v>365</v>
      </c>
    </row>
    <row r="1190" spans="1:7">
      <c r="A1190"/>
      <c r="B1190" s="24" t="s">
        <v>234</v>
      </c>
      <c r="C1190" s="24" t="s">
        <v>11</v>
      </c>
      <c r="D1190" s="24" t="s">
        <v>233</v>
      </c>
      <c r="E1190" s="24" t="s">
        <v>1139</v>
      </c>
      <c r="F1190" s="60">
        <v>674.04000000000008</v>
      </c>
      <c r="G1190" s="111">
        <v>436.52</v>
      </c>
    </row>
    <row r="1191" spans="1:7">
      <c r="A1191"/>
      <c r="B1191" s="24">
        <v>20</v>
      </c>
      <c r="C1191" s="24" t="s">
        <v>692</v>
      </c>
      <c r="D1191" s="103" t="s">
        <v>1135</v>
      </c>
      <c r="E1191" s="24" t="s">
        <v>1139</v>
      </c>
      <c r="F1191" s="60">
        <v>684</v>
      </c>
      <c r="G1191" s="111">
        <v>388.3</v>
      </c>
    </row>
    <row r="1192" spans="1:7">
      <c r="A1192"/>
      <c r="B1192" s="24">
        <v>20</v>
      </c>
      <c r="C1192" s="24" t="s">
        <v>692</v>
      </c>
      <c r="D1192" s="24" t="s">
        <v>233</v>
      </c>
      <c r="E1192" s="24" t="s">
        <v>1139</v>
      </c>
      <c r="F1192" s="60">
        <v>60</v>
      </c>
      <c r="G1192" s="111">
        <v>396</v>
      </c>
    </row>
    <row r="1193" spans="1:7">
      <c r="A1193"/>
      <c r="B1193" s="24">
        <v>20</v>
      </c>
      <c r="C1193" s="24" t="s">
        <v>98</v>
      </c>
      <c r="D1193" s="103" t="s">
        <v>1135</v>
      </c>
      <c r="E1193" s="24" t="s">
        <v>1139</v>
      </c>
      <c r="F1193" s="60">
        <v>5585.2400000000007</v>
      </c>
      <c r="G1193" s="111">
        <v>418</v>
      </c>
    </row>
    <row r="1194" spans="1:7">
      <c r="A1194"/>
      <c r="B1194" s="24">
        <v>20</v>
      </c>
      <c r="C1194" s="24" t="s">
        <v>98</v>
      </c>
      <c r="D1194" s="24" t="s">
        <v>233</v>
      </c>
      <c r="E1194" s="24" t="s">
        <v>1139</v>
      </c>
      <c r="F1194" s="60">
        <v>214</v>
      </c>
      <c r="G1194" s="111">
        <v>426.12</v>
      </c>
    </row>
    <row r="1195" spans="1:7">
      <c r="A1195"/>
      <c r="B1195" s="24" t="s">
        <v>234</v>
      </c>
      <c r="C1195" s="24" t="s">
        <v>98</v>
      </c>
      <c r="D1195" s="24" t="s">
        <v>233</v>
      </c>
      <c r="E1195" s="24" t="s">
        <v>1139</v>
      </c>
      <c r="F1195" s="60">
        <v>596.9</v>
      </c>
      <c r="G1195" s="111">
        <v>509.7</v>
      </c>
    </row>
    <row r="1196" spans="1:7">
      <c r="A1196"/>
      <c r="B1196" s="24">
        <v>20</v>
      </c>
      <c r="C1196" s="24" t="s">
        <v>693</v>
      </c>
      <c r="D1196" s="103" t="s">
        <v>1135</v>
      </c>
      <c r="E1196" s="24" t="s">
        <v>1139</v>
      </c>
      <c r="F1196" s="60">
        <v>2670</v>
      </c>
      <c r="G1196" s="111">
        <v>468.3</v>
      </c>
    </row>
    <row r="1197" spans="1:7">
      <c r="A1197"/>
      <c r="B1197" s="24">
        <v>20</v>
      </c>
      <c r="C1197" s="24" t="s">
        <v>693</v>
      </c>
      <c r="D1197" s="24" t="s">
        <v>233</v>
      </c>
      <c r="E1197" s="24" t="s">
        <v>1139</v>
      </c>
      <c r="F1197" s="60">
        <v>0</v>
      </c>
      <c r="G1197" s="111">
        <v>478</v>
      </c>
    </row>
    <row r="1198" spans="1:7">
      <c r="A1198"/>
      <c r="B1198" s="24">
        <v>20</v>
      </c>
      <c r="C1198" s="24" t="s">
        <v>923</v>
      </c>
      <c r="D1198" s="103" t="s">
        <v>1135</v>
      </c>
      <c r="E1198" s="24" t="s">
        <v>1139</v>
      </c>
      <c r="F1198" s="60">
        <v>1385.8000000000002</v>
      </c>
      <c r="G1198" s="111">
        <v>223.7</v>
      </c>
    </row>
    <row r="1199" spans="1:7">
      <c r="A1199"/>
      <c r="B1199" s="24">
        <v>20</v>
      </c>
      <c r="C1199" s="24" t="s">
        <v>923</v>
      </c>
      <c r="D1199" s="24" t="s">
        <v>233</v>
      </c>
      <c r="E1199" s="24" t="s">
        <v>1139</v>
      </c>
      <c r="F1199" s="60">
        <v>709</v>
      </c>
      <c r="G1199" s="111">
        <v>262.5</v>
      </c>
    </row>
    <row r="1200" spans="1:7">
      <c r="A1200"/>
      <c r="B1200" s="24">
        <v>20</v>
      </c>
      <c r="C1200" s="24" t="s">
        <v>128</v>
      </c>
      <c r="D1200" s="103" t="s">
        <v>1135</v>
      </c>
      <c r="E1200" s="24" t="s">
        <v>1139</v>
      </c>
      <c r="F1200" s="60">
        <v>1520.0499999999997</v>
      </c>
      <c r="G1200" s="111">
        <v>261.12</v>
      </c>
    </row>
    <row r="1201" spans="1:7">
      <c r="A1201"/>
      <c r="B1201" s="24">
        <v>20</v>
      </c>
      <c r="C1201" s="24" t="s">
        <v>128</v>
      </c>
      <c r="D1201" s="24" t="s">
        <v>233</v>
      </c>
      <c r="E1201" s="24" t="s">
        <v>1139</v>
      </c>
      <c r="F1201" s="60">
        <v>228</v>
      </c>
      <c r="G1201" s="111">
        <v>306.5</v>
      </c>
    </row>
    <row r="1202" spans="1:7" ht="16">
      <c r="A1202" s="63"/>
      <c r="B1202" s="24">
        <v>20</v>
      </c>
      <c r="C1202" s="24" t="s">
        <v>878</v>
      </c>
      <c r="D1202" s="103" t="s">
        <v>1135</v>
      </c>
      <c r="E1202" s="24" t="s">
        <v>1139</v>
      </c>
      <c r="F1202" s="60">
        <v>1368.9</v>
      </c>
      <c r="G1202" s="111">
        <v>294.36</v>
      </c>
    </row>
    <row r="1203" spans="1:7" ht="16">
      <c r="A1203" s="63"/>
      <c r="B1203" s="24">
        <v>20</v>
      </c>
      <c r="C1203" s="24" t="s">
        <v>878</v>
      </c>
      <c r="D1203" s="24" t="s">
        <v>233</v>
      </c>
      <c r="E1203" s="24" t="s">
        <v>1139</v>
      </c>
      <c r="F1203" s="60">
        <v>85</v>
      </c>
      <c r="G1203" s="111">
        <v>345.41</v>
      </c>
    </row>
    <row r="1204" spans="1:7" ht="16">
      <c r="A1204" s="63"/>
      <c r="B1204" s="24">
        <v>20</v>
      </c>
      <c r="C1204" s="24" t="s">
        <v>100</v>
      </c>
      <c r="D1204" s="103" t="s">
        <v>1135</v>
      </c>
      <c r="E1204" s="24" t="s">
        <v>1139</v>
      </c>
      <c r="F1204" s="60">
        <v>2462.0000000000005</v>
      </c>
      <c r="G1204" s="111">
        <v>187.1</v>
      </c>
    </row>
    <row r="1205" spans="1:7">
      <c r="A1205"/>
      <c r="B1205" s="24">
        <v>20</v>
      </c>
      <c r="C1205" s="24" t="s">
        <v>100</v>
      </c>
      <c r="D1205" s="24" t="s">
        <v>233</v>
      </c>
      <c r="E1205" s="24" t="s">
        <v>1139</v>
      </c>
      <c r="F1205" s="60">
        <v>0</v>
      </c>
      <c r="G1205" s="111">
        <v>219.54</v>
      </c>
    </row>
    <row r="1206" spans="1:7">
      <c r="A1206"/>
      <c r="B1206" s="24">
        <v>20</v>
      </c>
      <c r="C1206" s="24" t="s">
        <v>694</v>
      </c>
      <c r="D1206" s="103" t="s">
        <v>1135</v>
      </c>
      <c r="E1206" s="24" t="s">
        <v>1139</v>
      </c>
      <c r="F1206" s="60">
        <v>20154</v>
      </c>
      <c r="G1206" s="111">
        <v>230.2</v>
      </c>
    </row>
    <row r="1207" spans="1:7">
      <c r="A1207"/>
      <c r="B1207" s="24">
        <v>20</v>
      </c>
      <c r="C1207" s="24" t="s">
        <v>694</v>
      </c>
      <c r="D1207" s="24" t="s">
        <v>233</v>
      </c>
      <c r="E1207" s="24" t="s">
        <v>1139</v>
      </c>
      <c r="F1207" s="60">
        <v>2356</v>
      </c>
      <c r="G1207" s="111">
        <v>270.10000000000002</v>
      </c>
    </row>
    <row r="1208" spans="1:7">
      <c r="A1208"/>
      <c r="B1208" s="24">
        <v>20</v>
      </c>
      <c r="C1208" s="24" t="s">
        <v>129</v>
      </c>
      <c r="D1208" s="103" t="s">
        <v>1135</v>
      </c>
      <c r="E1208" s="24" t="s">
        <v>1139</v>
      </c>
      <c r="F1208" s="60">
        <v>31914.270000000008</v>
      </c>
      <c r="G1208" s="111">
        <v>269.64</v>
      </c>
    </row>
    <row r="1209" spans="1:7">
      <c r="A1209"/>
      <c r="B1209" s="24">
        <v>20</v>
      </c>
      <c r="C1209" s="24" t="s">
        <v>129</v>
      </c>
      <c r="D1209" s="24" t="s">
        <v>233</v>
      </c>
      <c r="E1209" s="24" t="s">
        <v>1139</v>
      </c>
      <c r="F1209" s="60">
        <v>1830</v>
      </c>
      <c r="G1209" s="111">
        <v>316.39999999999998</v>
      </c>
    </row>
    <row r="1210" spans="1:7">
      <c r="A1210"/>
      <c r="B1210" s="24" t="s">
        <v>234</v>
      </c>
      <c r="C1210" s="24" t="s">
        <v>129</v>
      </c>
      <c r="D1210" s="24" t="s">
        <v>233</v>
      </c>
      <c r="E1210" s="24" t="s">
        <v>1139</v>
      </c>
      <c r="F1210" s="60">
        <v>1357.1900000000003</v>
      </c>
      <c r="G1210" s="111">
        <v>378.44</v>
      </c>
    </row>
    <row r="1211" spans="1:7">
      <c r="A1211"/>
      <c r="B1211" s="24">
        <v>20</v>
      </c>
      <c r="C1211" s="24" t="s">
        <v>12</v>
      </c>
      <c r="D1211" s="103" t="s">
        <v>1135</v>
      </c>
      <c r="E1211" s="24" t="s">
        <v>1139</v>
      </c>
      <c r="F1211" s="60">
        <v>19360.900000000001</v>
      </c>
      <c r="G1211" s="111">
        <v>304.7</v>
      </c>
    </row>
    <row r="1212" spans="1:7">
      <c r="A1212"/>
      <c r="B1212" s="24">
        <v>20</v>
      </c>
      <c r="C1212" s="24" t="s">
        <v>12</v>
      </c>
      <c r="D1212" s="24" t="s">
        <v>233</v>
      </c>
      <c r="E1212" s="24" t="s">
        <v>1139</v>
      </c>
      <c r="F1212" s="60">
        <v>2518.8000000000002</v>
      </c>
      <c r="G1212" s="111">
        <v>357.5</v>
      </c>
    </row>
    <row r="1213" spans="1:7">
      <c r="A1213"/>
      <c r="B1213" s="24" t="s">
        <v>234</v>
      </c>
      <c r="C1213" s="24" t="s">
        <v>12</v>
      </c>
      <c r="D1213" s="24" t="s">
        <v>233</v>
      </c>
      <c r="E1213" s="24" t="s">
        <v>1139</v>
      </c>
      <c r="F1213" s="60">
        <v>449.10000000000053</v>
      </c>
      <c r="G1213" s="111">
        <v>427.6</v>
      </c>
    </row>
    <row r="1214" spans="1:7">
      <c r="A1214"/>
      <c r="B1214" s="24">
        <v>20</v>
      </c>
      <c r="C1214" s="24" t="s">
        <v>695</v>
      </c>
      <c r="D1214" s="103" t="s">
        <v>1135</v>
      </c>
      <c r="E1214" s="24" t="s">
        <v>1139</v>
      </c>
      <c r="F1214" s="60">
        <v>0.79999999999745341</v>
      </c>
      <c r="G1214" s="111">
        <v>336.24</v>
      </c>
    </row>
    <row r="1215" spans="1:7">
      <c r="A1215"/>
      <c r="B1215" s="24">
        <v>20</v>
      </c>
      <c r="C1215" s="24" t="s">
        <v>695</v>
      </c>
      <c r="D1215" s="24" t="s">
        <v>233</v>
      </c>
      <c r="E1215" s="24" t="s">
        <v>1139</v>
      </c>
      <c r="F1215" s="60">
        <v>22.8</v>
      </c>
      <c r="G1215" s="111">
        <v>394.5</v>
      </c>
    </row>
    <row r="1216" spans="1:7">
      <c r="A1216"/>
      <c r="B1216" s="24">
        <v>20</v>
      </c>
      <c r="C1216" s="24" t="s">
        <v>695</v>
      </c>
      <c r="D1216" s="104" t="s">
        <v>930</v>
      </c>
      <c r="E1216" s="24" t="s">
        <v>1139</v>
      </c>
      <c r="F1216" s="108">
        <v>57</v>
      </c>
      <c r="G1216" s="112">
        <v>302.60000000000002</v>
      </c>
    </row>
    <row r="1217" spans="1:7">
      <c r="A1217"/>
      <c r="B1217" s="24" t="s">
        <v>234</v>
      </c>
      <c r="C1217" s="24" t="s">
        <v>695</v>
      </c>
      <c r="D1217" s="24" t="s">
        <v>233</v>
      </c>
      <c r="E1217" s="24" t="s">
        <v>1139</v>
      </c>
      <c r="F1217" s="60">
        <v>796.37</v>
      </c>
      <c r="G1217" s="111">
        <v>471.85</v>
      </c>
    </row>
    <row r="1218" spans="1:7">
      <c r="A1218"/>
      <c r="B1218" s="24">
        <v>20</v>
      </c>
      <c r="C1218" s="24" t="s">
        <v>696</v>
      </c>
      <c r="D1218" s="103" t="s">
        <v>1135</v>
      </c>
      <c r="E1218" s="24" t="s">
        <v>1139</v>
      </c>
      <c r="F1218" s="60">
        <v>1505.9999999999998</v>
      </c>
      <c r="G1218" s="111">
        <v>422.14</v>
      </c>
    </row>
    <row r="1219" spans="1:7">
      <c r="A1219"/>
      <c r="B1219" s="24">
        <v>20</v>
      </c>
      <c r="C1219" s="24" t="s">
        <v>696</v>
      </c>
      <c r="D1219" s="24" t="s">
        <v>233</v>
      </c>
      <c r="E1219" s="24" t="s">
        <v>1139</v>
      </c>
      <c r="F1219" s="60">
        <v>0</v>
      </c>
      <c r="G1219" s="111">
        <v>430.6</v>
      </c>
    </row>
    <row r="1220" spans="1:7">
      <c r="A1220"/>
      <c r="B1220" s="24">
        <v>20</v>
      </c>
      <c r="C1220" s="24" t="s">
        <v>697</v>
      </c>
      <c r="D1220" s="103" t="s">
        <v>1135</v>
      </c>
      <c r="E1220" s="24" t="s">
        <v>1139</v>
      </c>
      <c r="F1220" s="60">
        <v>2376.0000000000009</v>
      </c>
      <c r="G1220" s="111">
        <v>456.5</v>
      </c>
    </row>
    <row r="1221" spans="1:7">
      <c r="A1221"/>
      <c r="B1221" s="24">
        <v>20</v>
      </c>
      <c r="C1221" s="24" t="s">
        <v>697</v>
      </c>
      <c r="D1221" s="24" t="s">
        <v>233</v>
      </c>
      <c r="E1221" s="24" t="s">
        <v>1139</v>
      </c>
      <c r="F1221" s="60">
        <v>-2.89906987305244E-14</v>
      </c>
      <c r="G1221" s="111">
        <v>465.62</v>
      </c>
    </row>
    <row r="1222" spans="1:7">
      <c r="A1222"/>
      <c r="B1222" s="24" t="s">
        <v>234</v>
      </c>
      <c r="C1222" s="24" t="s">
        <v>697</v>
      </c>
      <c r="D1222" s="24" t="s">
        <v>233</v>
      </c>
      <c r="E1222" s="24" t="s">
        <v>1139</v>
      </c>
      <c r="F1222" s="60">
        <v>127.2800000000002</v>
      </c>
      <c r="G1222" s="111">
        <v>557</v>
      </c>
    </row>
    <row r="1223" spans="1:7">
      <c r="A1223"/>
      <c r="B1223" s="24">
        <v>20</v>
      </c>
      <c r="C1223" s="24" t="s">
        <v>698</v>
      </c>
      <c r="D1223" s="103" t="s">
        <v>1135</v>
      </c>
      <c r="E1223" s="24" t="s">
        <v>1139</v>
      </c>
      <c r="F1223" s="60">
        <v>180</v>
      </c>
      <c r="G1223" s="111">
        <v>517</v>
      </c>
    </row>
    <row r="1224" spans="1:7">
      <c r="A1224"/>
      <c r="B1224" s="24">
        <v>20</v>
      </c>
      <c r="C1224" s="24" t="s">
        <v>698</v>
      </c>
      <c r="D1224" s="24" t="s">
        <v>233</v>
      </c>
      <c r="E1224" s="24" t="s">
        <v>1139</v>
      </c>
      <c r="F1224" s="60">
        <v>0</v>
      </c>
      <c r="G1224" s="111">
        <v>527.35</v>
      </c>
    </row>
    <row r="1225" spans="1:7">
      <c r="A1225"/>
      <c r="B1225" s="24">
        <v>20</v>
      </c>
      <c r="C1225" s="24" t="s">
        <v>831</v>
      </c>
      <c r="D1225" s="103" t="s">
        <v>1135</v>
      </c>
      <c r="E1225" s="24" t="s">
        <v>1139</v>
      </c>
      <c r="F1225" s="60">
        <v>1080</v>
      </c>
      <c r="G1225" s="113">
        <v>271.82</v>
      </c>
    </row>
    <row r="1226" spans="1:7">
      <c r="A1226"/>
      <c r="B1226" s="24">
        <v>20</v>
      </c>
      <c r="C1226" s="24" t="s">
        <v>831</v>
      </c>
      <c r="D1226" s="24" t="s">
        <v>233</v>
      </c>
      <c r="E1226" s="24" t="s">
        <v>1139</v>
      </c>
      <c r="F1226" s="60">
        <v>345</v>
      </c>
      <c r="G1226" s="113">
        <v>277.26</v>
      </c>
    </row>
    <row r="1227" spans="1:7">
      <c r="A1227"/>
      <c r="B1227" s="24">
        <v>20</v>
      </c>
      <c r="C1227" s="24" t="s">
        <v>832</v>
      </c>
      <c r="D1227" s="103" t="s">
        <v>1135</v>
      </c>
      <c r="E1227" s="24" t="s">
        <v>1139</v>
      </c>
      <c r="F1227" s="60">
        <v>108.84999999999991</v>
      </c>
      <c r="G1227" s="113">
        <v>319.83</v>
      </c>
    </row>
    <row r="1228" spans="1:7">
      <c r="A1228"/>
      <c r="B1228" s="24">
        <v>20</v>
      </c>
      <c r="C1228" s="24" t="s">
        <v>832</v>
      </c>
      <c r="D1228" s="24" t="s">
        <v>233</v>
      </c>
      <c r="E1228" s="24" t="s">
        <v>1139</v>
      </c>
      <c r="F1228" s="60">
        <v>192</v>
      </c>
      <c r="G1228" s="113">
        <v>326.23</v>
      </c>
    </row>
    <row r="1229" spans="1:7">
      <c r="A1229"/>
      <c r="B1229" s="24">
        <v>20</v>
      </c>
      <c r="C1229" s="24" t="s">
        <v>833</v>
      </c>
      <c r="D1229" s="103" t="s">
        <v>1135</v>
      </c>
      <c r="E1229" s="24" t="s">
        <v>1139</v>
      </c>
      <c r="F1229" s="60">
        <v>2592</v>
      </c>
      <c r="G1229" s="113">
        <v>362.33</v>
      </c>
    </row>
    <row r="1230" spans="1:7">
      <c r="A1230"/>
      <c r="B1230" s="24">
        <v>20</v>
      </c>
      <c r="C1230" s="24" t="s">
        <v>833</v>
      </c>
      <c r="D1230" s="24" t="s">
        <v>233</v>
      </c>
      <c r="E1230" s="24" t="s">
        <v>1139</v>
      </c>
      <c r="F1230" s="60">
        <v>174</v>
      </c>
      <c r="G1230" s="113">
        <v>369.6</v>
      </c>
    </row>
    <row r="1231" spans="1:7">
      <c r="A1231"/>
      <c r="B1231" s="24">
        <v>20</v>
      </c>
      <c r="C1231" s="24" t="s">
        <v>699</v>
      </c>
      <c r="D1231" s="103" t="s">
        <v>1135</v>
      </c>
      <c r="E1231" s="24" t="s">
        <v>1139</v>
      </c>
      <c r="F1231" s="60">
        <v>1286.5000000000005</v>
      </c>
      <c r="G1231" s="111">
        <v>400.6</v>
      </c>
    </row>
    <row r="1232" spans="1:7">
      <c r="A1232"/>
      <c r="B1232" s="24">
        <v>20</v>
      </c>
      <c r="C1232" s="24" t="s">
        <v>699</v>
      </c>
      <c r="D1232" s="24" t="s">
        <v>233</v>
      </c>
      <c r="E1232" s="24" t="s">
        <v>1139</v>
      </c>
      <c r="F1232" s="60">
        <v>0</v>
      </c>
      <c r="G1232" s="111">
        <v>408.6</v>
      </c>
    </row>
    <row r="1233" spans="1:7">
      <c r="A1233"/>
      <c r="B1233" s="24">
        <v>20</v>
      </c>
      <c r="C1233" s="24" t="s">
        <v>837</v>
      </c>
      <c r="D1233" s="103" t="s">
        <v>1135</v>
      </c>
      <c r="E1233" s="24" t="s">
        <v>1139</v>
      </c>
      <c r="F1233" s="60">
        <v>581.59999999999991</v>
      </c>
      <c r="G1233" s="111">
        <v>438.53</v>
      </c>
    </row>
    <row r="1234" spans="1:7">
      <c r="A1234"/>
      <c r="B1234" s="24">
        <v>20</v>
      </c>
      <c r="C1234" s="24" t="s">
        <v>837</v>
      </c>
      <c r="D1234" s="24" t="s">
        <v>233</v>
      </c>
      <c r="E1234" s="24" t="s">
        <v>1139</v>
      </c>
      <c r="F1234" s="60">
        <v>316</v>
      </c>
      <c r="G1234" s="111">
        <v>447.3</v>
      </c>
    </row>
    <row r="1235" spans="1:7">
      <c r="A1235"/>
      <c r="B1235" s="24">
        <v>20</v>
      </c>
      <c r="C1235" s="24" t="s">
        <v>700</v>
      </c>
      <c r="D1235" s="103" t="s">
        <v>1135</v>
      </c>
      <c r="E1235" s="24" t="s">
        <v>1139</v>
      </c>
      <c r="F1235" s="60">
        <v>1542.3000000000002</v>
      </c>
      <c r="G1235" s="111">
        <v>475.32</v>
      </c>
    </row>
    <row r="1236" spans="1:7">
      <c r="A1236"/>
      <c r="B1236" s="24">
        <v>20</v>
      </c>
      <c r="C1236" s="24" t="s">
        <v>700</v>
      </c>
      <c r="D1236" s="24" t="s">
        <v>233</v>
      </c>
      <c r="E1236" s="24" t="s">
        <v>1139</v>
      </c>
      <c r="F1236" s="60">
        <v>299</v>
      </c>
      <c r="G1236" s="111">
        <v>484.83</v>
      </c>
    </row>
    <row r="1237" spans="1:7">
      <c r="A1237"/>
      <c r="B1237" s="24">
        <v>20</v>
      </c>
      <c r="C1237" s="24" t="s">
        <v>701</v>
      </c>
      <c r="D1237" s="103" t="s">
        <v>1135</v>
      </c>
      <c r="E1237" s="24" t="s">
        <v>1139</v>
      </c>
      <c r="F1237" s="60">
        <v>4722</v>
      </c>
      <c r="G1237" s="111">
        <v>195.4</v>
      </c>
    </row>
    <row r="1238" spans="1:7">
      <c r="A1238"/>
      <c r="B1238" s="24">
        <v>20</v>
      </c>
      <c r="C1238" s="24" t="s">
        <v>701</v>
      </c>
      <c r="D1238" s="24" t="s">
        <v>233</v>
      </c>
      <c r="E1238" s="24" t="s">
        <v>1139</v>
      </c>
      <c r="F1238" s="60">
        <v>12</v>
      </c>
      <c r="G1238" s="111">
        <v>229.16</v>
      </c>
    </row>
    <row r="1239" spans="1:7">
      <c r="A1239"/>
      <c r="B1239" s="24">
        <v>20</v>
      </c>
      <c r="C1239" s="24" t="s">
        <v>212</v>
      </c>
      <c r="D1239" s="103" t="s">
        <v>1135</v>
      </c>
      <c r="E1239" s="24" t="s">
        <v>1139</v>
      </c>
      <c r="F1239" s="60">
        <v>3576.4000000000015</v>
      </c>
      <c r="G1239" s="111">
        <v>242.4</v>
      </c>
    </row>
    <row r="1240" spans="1:7">
      <c r="A1240"/>
      <c r="B1240" s="24">
        <v>20</v>
      </c>
      <c r="C1240" s="24" t="s">
        <v>212</v>
      </c>
      <c r="D1240" s="24" t="s">
        <v>233</v>
      </c>
      <c r="E1240" s="24" t="s">
        <v>1139</v>
      </c>
      <c r="F1240" s="60">
        <v>0</v>
      </c>
      <c r="G1240" s="111">
        <v>284.42</v>
      </c>
    </row>
    <row r="1241" spans="1:7">
      <c r="A1241"/>
      <c r="B1241" s="24">
        <v>20</v>
      </c>
      <c r="C1241" s="24" t="s">
        <v>153</v>
      </c>
      <c r="D1241" s="103" t="s">
        <v>1135</v>
      </c>
      <c r="E1241" s="24" t="s">
        <v>1139</v>
      </c>
      <c r="F1241" s="60">
        <v>8636.43</v>
      </c>
      <c r="G1241" s="111">
        <v>286.2</v>
      </c>
    </row>
    <row r="1242" spans="1:7">
      <c r="A1242"/>
      <c r="B1242" s="24">
        <v>20</v>
      </c>
      <c r="C1242" s="24" t="s">
        <v>153</v>
      </c>
      <c r="D1242" s="24" t="s">
        <v>233</v>
      </c>
      <c r="E1242" s="24" t="s">
        <v>1139</v>
      </c>
      <c r="F1242" s="60">
        <v>262.99999999999994</v>
      </c>
      <c r="G1242" s="111">
        <v>335.82</v>
      </c>
    </row>
    <row r="1243" spans="1:7">
      <c r="A1243"/>
      <c r="B1243" s="24" t="s">
        <v>234</v>
      </c>
      <c r="C1243" s="24" t="s">
        <v>153</v>
      </c>
      <c r="D1243" s="24" t="s">
        <v>233</v>
      </c>
      <c r="E1243" s="24" t="s">
        <v>1139</v>
      </c>
      <c r="F1243" s="60">
        <v>852.35000000000014</v>
      </c>
      <c r="G1243" s="111">
        <v>401.7</v>
      </c>
    </row>
    <row r="1244" spans="1:7">
      <c r="A1244"/>
      <c r="B1244" s="24">
        <v>20</v>
      </c>
      <c r="C1244" s="24" t="s">
        <v>13</v>
      </c>
      <c r="D1244" s="103" t="s">
        <v>1135</v>
      </c>
      <c r="E1244" s="24" t="s">
        <v>1139</v>
      </c>
      <c r="F1244" s="60">
        <v>5.7999999999997272</v>
      </c>
      <c r="G1244" s="111">
        <v>325</v>
      </c>
    </row>
    <row r="1245" spans="1:7">
      <c r="A1245"/>
      <c r="B1245" s="24">
        <v>20</v>
      </c>
      <c r="C1245" s="24" t="s">
        <v>13</v>
      </c>
      <c r="D1245" s="24" t="s">
        <v>233</v>
      </c>
      <c r="E1245" s="24" t="s">
        <v>1139</v>
      </c>
      <c r="F1245" s="60">
        <v>0</v>
      </c>
      <c r="G1245" s="111">
        <v>381.4</v>
      </c>
    </row>
    <row r="1246" spans="1:7">
      <c r="A1246"/>
      <c r="B1246" s="24">
        <v>20</v>
      </c>
      <c r="C1246" s="24" t="s">
        <v>14</v>
      </c>
      <c r="D1246" s="103" t="s">
        <v>1135</v>
      </c>
      <c r="E1246" s="24" t="s">
        <v>1139</v>
      </c>
      <c r="F1246" s="60">
        <v>12.709999999999127</v>
      </c>
      <c r="G1246" s="111">
        <v>360.24</v>
      </c>
    </row>
    <row r="1247" spans="1:7">
      <c r="A1247"/>
      <c r="B1247" s="24">
        <v>20</v>
      </c>
      <c r="C1247" s="24" t="s">
        <v>14</v>
      </c>
      <c r="D1247" s="24" t="s">
        <v>233</v>
      </c>
      <c r="E1247" s="24" t="s">
        <v>1139</v>
      </c>
      <c r="F1247" s="60">
        <v>0</v>
      </c>
      <c r="G1247" s="111">
        <v>422.72</v>
      </c>
    </row>
    <row r="1248" spans="1:7">
      <c r="A1248"/>
      <c r="B1248" s="24" t="s">
        <v>234</v>
      </c>
      <c r="C1248" s="24" t="s">
        <v>14</v>
      </c>
      <c r="D1248" s="24" t="s">
        <v>233</v>
      </c>
      <c r="E1248" s="24" t="s">
        <v>1139</v>
      </c>
      <c r="F1248" s="60">
        <v>563.00000000000023</v>
      </c>
      <c r="G1248" s="111">
        <v>505.61</v>
      </c>
    </row>
    <row r="1249" spans="1:7">
      <c r="A1249"/>
      <c r="B1249" s="24">
        <v>20</v>
      </c>
      <c r="C1249" s="24" t="s">
        <v>702</v>
      </c>
      <c r="D1249" s="103" t="s">
        <v>1135</v>
      </c>
      <c r="E1249" s="24" t="s">
        <v>1139</v>
      </c>
      <c r="F1249" s="60">
        <v>942.00000000000045</v>
      </c>
      <c r="G1249" s="111">
        <v>454.6</v>
      </c>
    </row>
    <row r="1250" spans="1:7">
      <c r="A1250"/>
      <c r="B1250" s="24">
        <v>20</v>
      </c>
      <c r="C1250" s="24" t="s">
        <v>702</v>
      </c>
      <c r="D1250" s="24" t="s">
        <v>233</v>
      </c>
      <c r="E1250" s="24" t="s">
        <v>1139</v>
      </c>
      <c r="F1250" s="60">
        <v>12</v>
      </c>
      <c r="G1250" s="111">
        <v>463.65</v>
      </c>
    </row>
    <row r="1251" spans="1:7">
      <c r="A1251"/>
      <c r="B1251" s="24">
        <v>20</v>
      </c>
      <c r="C1251" s="24" t="s">
        <v>224</v>
      </c>
      <c r="D1251" s="103" t="s">
        <v>1135</v>
      </c>
      <c r="E1251" s="24" t="s">
        <v>1139</v>
      </c>
      <c r="F1251" s="60">
        <v>3441.130000000001</v>
      </c>
      <c r="G1251" s="111">
        <v>493.8</v>
      </c>
    </row>
    <row r="1252" spans="1:7">
      <c r="A1252"/>
      <c r="B1252" s="24">
        <v>20</v>
      </c>
      <c r="C1252" s="24" t="s">
        <v>224</v>
      </c>
      <c r="D1252" s="24" t="s">
        <v>233</v>
      </c>
      <c r="E1252" s="24" t="s">
        <v>1139</v>
      </c>
      <c r="F1252" s="60">
        <v>36</v>
      </c>
      <c r="G1252" s="111">
        <v>503.65</v>
      </c>
    </row>
    <row r="1253" spans="1:7">
      <c r="A1253"/>
      <c r="B1253" s="24" t="s">
        <v>234</v>
      </c>
      <c r="C1253" s="24" t="s">
        <v>224</v>
      </c>
      <c r="D1253" s="24" t="s">
        <v>233</v>
      </c>
      <c r="E1253" s="24" t="s">
        <v>1139</v>
      </c>
      <c r="F1253" s="60">
        <v>168.7500000000002</v>
      </c>
      <c r="G1253" s="111">
        <v>602.4</v>
      </c>
    </row>
    <row r="1254" spans="1:7">
      <c r="A1254"/>
      <c r="B1254" s="24">
        <v>20</v>
      </c>
      <c r="C1254" s="24" t="s">
        <v>703</v>
      </c>
      <c r="D1254" s="103" t="s">
        <v>1135</v>
      </c>
      <c r="E1254" s="24" t="s">
        <v>1139</v>
      </c>
      <c r="F1254" s="60">
        <v>437</v>
      </c>
      <c r="G1254" s="111">
        <v>564.34</v>
      </c>
    </row>
    <row r="1255" spans="1:7">
      <c r="A1255"/>
      <c r="B1255" s="24">
        <v>20</v>
      </c>
      <c r="C1255" s="24" t="s">
        <v>703</v>
      </c>
      <c r="D1255" s="24" t="s">
        <v>233</v>
      </c>
      <c r="E1255" s="24" t="s">
        <v>1139</v>
      </c>
      <c r="F1255" s="60">
        <v>0</v>
      </c>
      <c r="G1255" s="111">
        <v>575.62</v>
      </c>
    </row>
    <row r="1256" spans="1:7">
      <c r="A1256"/>
      <c r="B1256" s="24">
        <v>20</v>
      </c>
      <c r="C1256" s="24" t="s">
        <v>704</v>
      </c>
      <c r="D1256" s="103" t="s">
        <v>1135</v>
      </c>
      <c r="E1256" s="24" t="s">
        <v>1139</v>
      </c>
      <c r="F1256" s="60">
        <v>-1.7408297026122455E-13</v>
      </c>
      <c r="G1256" s="111">
        <v>646.70000000000005</v>
      </c>
    </row>
    <row r="1257" spans="1:7">
      <c r="A1257"/>
      <c r="B1257" s="24">
        <v>20</v>
      </c>
      <c r="C1257" s="24" t="s">
        <v>704</v>
      </c>
      <c r="D1257" s="24" t="s">
        <v>233</v>
      </c>
      <c r="E1257" s="24" t="s">
        <v>1139</v>
      </c>
      <c r="F1257" s="60">
        <v>140.25</v>
      </c>
      <c r="G1257" s="111">
        <v>659.6</v>
      </c>
    </row>
    <row r="1258" spans="1:7">
      <c r="A1258"/>
      <c r="B1258" s="28">
        <v>10</v>
      </c>
      <c r="C1258" s="24" t="s">
        <v>1091</v>
      </c>
      <c r="D1258" s="24" t="s">
        <v>233</v>
      </c>
      <c r="E1258" s="24" t="s">
        <v>1139</v>
      </c>
      <c r="F1258" s="60">
        <v>0</v>
      </c>
      <c r="G1258" s="111">
        <v>204.24</v>
      </c>
    </row>
    <row r="1259" spans="1:7">
      <c r="A1259"/>
      <c r="B1259" s="24">
        <v>20</v>
      </c>
      <c r="C1259" s="24" t="s">
        <v>805</v>
      </c>
      <c r="D1259" s="103" t="s">
        <v>1135</v>
      </c>
      <c r="E1259" s="24" t="s">
        <v>1139</v>
      </c>
      <c r="F1259" s="60">
        <v>748</v>
      </c>
      <c r="G1259" s="111">
        <v>349.73</v>
      </c>
    </row>
    <row r="1260" spans="1:7">
      <c r="A1260"/>
      <c r="B1260" s="24">
        <v>20</v>
      </c>
      <c r="C1260" s="24" t="s">
        <v>805</v>
      </c>
      <c r="D1260" s="24" t="s">
        <v>233</v>
      </c>
      <c r="E1260" s="24" t="s">
        <v>1139</v>
      </c>
      <c r="F1260" s="60">
        <v>240</v>
      </c>
      <c r="G1260" s="111">
        <v>356.72</v>
      </c>
    </row>
    <row r="1261" spans="1:7">
      <c r="A1261"/>
      <c r="B1261" s="24">
        <v>20</v>
      </c>
      <c r="C1261" s="24" t="s">
        <v>705</v>
      </c>
      <c r="D1261" s="103" t="s">
        <v>1135</v>
      </c>
      <c r="E1261" s="24" t="s">
        <v>1139</v>
      </c>
      <c r="F1261" s="60">
        <v>6250.2999999999993</v>
      </c>
      <c r="G1261" s="111">
        <v>209</v>
      </c>
    </row>
    <row r="1262" spans="1:7">
      <c r="A1262"/>
      <c r="B1262" s="24">
        <v>20</v>
      </c>
      <c r="C1262" s="24" t="s">
        <v>705</v>
      </c>
      <c r="D1262" s="24" t="s">
        <v>233</v>
      </c>
      <c r="E1262" s="24" t="s">
        <v>1139</v>
      </c>
      <c r="F1262" s="60">
        <v>0</v>
      </c>
      <c r="G1262" s="111">
        <v>245.05</v>
      </c>
    </row>
    <row r="1263" spans="1:7">
      <c r="A1263"/>
      <c r="B1263" s="24">
        <v>20</v>
      </c>
      <c r="C1263" s="24" t="s">
        <v>166</v>
      </c>
      <c r="D1263" s="103" t="s">
        <v>1135</v>
      </c>
      <c r="E1263" s="24" t="s">
        <v>1139</v>
      </c>
      <c r="F1263" s="60">
        <v>1932</v>
      </c>
      <c r="G1263" s="111">
        <v>262.7</v>
      </c>
    </row>
    <row r="1264" spans="1:7">
      <c r="A1264"/>
      <c r="B1264" s="24">
        <v>20</v>
      </c>
      <c r="C1264" s="24" t="s">
        <v>166</v>
      </c>
      <c r="D1264" s="24" t="s">
        <v>233</v>
      </c>
      <c r="E1264" s="24" t="s">
        <v>1139</v>
      </c>
      <c r="F1264" s="60">
        <v>6</v>
      </c>
      <c r="G1264" s="111">
        <v>308.22000000000003</v>
      </c>
    </row>
    <row r="1265" spans="1:7">
      <c r="A1265"/>
      <c r="B1265" s="24">
        <v>20</v>
      </c>
      <c r="C1265" s="24" t="s">
        <v>706</v>
      </c>
      <c r="D1265" s="103" t="s">
        <v>1135</v>
      </c>
      <c r="E1265" s="24" t="s">
        <v>1139</v>
      </c>
      <c r="F1265" s="60">
        <v>11190.883000000014</v>
      </c>
      <c r="G1265" s="111">
        <v>312.83999999999997</v>
      </c>
    </row>
    <row r="1266" spans="1:7">
      <c r="A1266"/>
      <c r="B1266" s="24">
        <v>20</v>
      </c>
      <c r="C1266" s="24" t="s">
        <v>706</v>
      </c>
      <c r="D1266" s="24" t="s">
        <v>233</v>
      </c>
      <c r="E1266" s="24" t="s">
        <v>1139</v>
      </c>
      <c r="F1266" s="60">
        <v>2790</v>
      </c>
      <c r="G1266" s="111">
        <v>367.05</v>
      </c>
    </row>
    <row r="1267" spans="1:7">
      <c r="A1267"/>
      <c r="B1267" s="24" t="s">
        <v>234</v>
      </c>
      <c r="C1267" s="24" t="s">
        <v>706</v>
      </c>
      <c r="D1267" s="24" t="s">
        <v>233</v>
      </c>
      <c r="E1267" s="24" t="s">
        <v>1139</v>
      </c>
      <c r="F1267" s="60">
        <v>157.11000000000007</v>
      </c>
      <c r="G1267" s="111">
        <v>439</v>
      </c>
    </row>
    <row r="1268" spans="1:7">
      <c r="A1268"/>
      <c r="B1268" s="24">
        <v>20</v>
      </c>
      <c r="C1268" s="24" t="s">
        <v>707</v>
      </c>
      <c r="D1268" s="103" t="s">
        <v>1135</v>
      </c>
      <c r="E1268" s="24" t="s">
        <v>1139</v>
      </c>
      <c r="F1268" s="60">
        <v>3144.66</v>
      </c>
      <c r="G1268" s="111">
        <v>370</v>
      </c>
    </row>
    <row r="1269" spans="1:7">
      <c r="A1269"/>
      <c r="B1269" s="24">
        <v>20</v>
      </c>
      <c r="C1269" s="24" t="s">
        <v>707</v>
      </c>
      <c r="D1269" s="24" t="s">
        <v>233</v>
      </c>
      <c r="E1269" s="24" t="s">
        <v>1139</v>
      </c>
      <c r="F1269" s="60">
        <v>114</v>
      </c>
      <c r="G1269" s="111">
        <v>377.1</v>
      </c>
    </row>
    <row r="1270" spans="1:7">
      <c r="A1270"/>
      <c r="B1270" s="24">
        <v>20</v>
      </c>
      <c r="C1270" s="24" t="s">
        <v>708</v>
      </c>
      <c r="D1270" s="103" t="s">
        <v>1135</v>
      </c>
      <c r="E1270" s="24" t="s">
        <v>1139</v>
      </c>
      <c r="F1270" s="60">
        <v>84</v>
      </c>
      <c r="G1270" s="111">
        <v>380</v>
      </c>
    </row>
    <row r="1271" spans="1:7">
      <c r="A1271"/>
      <c r="B1271" s="24">
        <v>20</v>
      </c>
      <c r="C1271" s="24" t="s">
        <v>708</v>
      </c>
      <c r="D1271" s="24" t="s">
        <v>233</v>
      </c>
      <c r="E1271" s="24" t="s">
        <v>1139</v>
      </c>
      <c r="F1271" s="60">
        <v>0</v>
      </c>
      <c r="G1271" s="111">
        <v>387.51</v>
      </c>
    </row>
    <row r="1272" spans="1:7">
      <c r="A1272"/>
      <c r="B1272" s="24">
        <v>20</v>
      </c>
      <c r="C1272" s="24" t="s">
        <v>105</v>
      </c>
      <c r="D1272" s="103" t="s">
        <v>1135</v>
      </c>
      <c r="E1272" s="24" t="s">
        <v>1139</v>
      </c>
      <c r="F1272" s="60">
        <v>12</v>
      </c>
      <c r="G1272" s="111">
        <v>255.42</v>
      </c>
    </row>
    <row r="1273" spans="1:7">
      <c r="A1273"/>
      <c r="B1273" s="24">
        <v>20</v>
      </c>
      <c r="C1273" s="24" t="s">
        <v>105</v>
      </c>
      <c r="D1273" s="24" t="s">
        <v>233</v>
      </c>
      <c r="E1273" s="24" t="s">
        <v>1139</v>
      </c>
      <c r="F1273" s="60">
        <v>0</v>
      </c>
      <c r="G1273" s="111">
        <v>260.52999999999997</v>
      </c>
    </row>
    <row r="1274" spans="1:7">
      <c r="A1274"/>
      <c r="B1274" s="24">
        <v>20</v>
      </c>
      <c r="C1274" s="24" t="s">
        <v>106</v>
      </c>
      <c r="D1274" s="103" t="s">
        <v>1135</v>
      </c>
      <c r="E1274" s="24" t="s">
        <v>1139</v>
      </c>
      <c r="F1274" s="60">
        <v>155.99999999999926</v>
      </c>
      <c r="G1274" s="111">
        <v>324.74</v>
      </c>
    </row>
    <row r="1275" spans="1:7">
      <c r="A1275"/>
      <c r="B1275" s="24">
        <v>20</v>
      </c>
      <c r="C1275" s="24" t="s">
        <v>106</v>
      </c>
      <c r="D1275" s="24" t="s">
        <v>233</v>
      </c>
      <c r="E1275" s="24" t="s">
        <v>1139</v>
      </c>
      <c r="F1275" s="60">
        <v>0</v>
      </c>
      <c r="G1275" s="111">
        <v>331.24</v>
      </c>
    </row>
    <row r="1276" spans="1:7">
      <c r="A1276"/>
      <c r="B1276" s="24">
        <v>20</v>
      </c>
      <c r="C1276" s="24" t="s">
        <v>107</v>
      </c>
      <c r="D1276" s="103" t="s">
        <v>1135</v>
      </c>
      <c r="E1276" s="24" t="s">
        <v>1139</v>
      </c>
      <c r="F1276" s="60">
        <v>1056</v>
      </c>
      <c r="G1276" s="111">
        <v>390</v>
      </c>
    </row>
    <row r="1277" spans="1:7">
      <c r="A1277"/>
      <c r="B1277" s="24">
        <v>20</v>
      </c>
      <c r="C1277" s="24" t="s">
        <v>107</v>
      </c>
      <c r="D1277" s="24" t="s">
        <v>233</v>
      </c>
      <c r="E1277" s="24" t="s">
        <v>1139</v>
      </c>
      <c r="F1277" s="60">
        <v>0</v>
      </c>
      <c r="G1277" s="111">
        <v>398</v>
      </c>
    </row>
    <row r="1278" spans="1:7">
      <c r="A1278"/>
      <c r="B1278" s="24">
        <v>20</v>
      </c>
      <c r="C1278" s="24" t="s">
        <v>709</v>
      </c>
      <c r="D1278" s="103" t="s">
        <v>1135</v>
      </c>
      <c r="E1278" s="24" t="s">
        <v>1139</v>
      </c>
      <c r="F1278" s="60">
        <v>186</v>
      </c>
      <c r="G1278" s="111">
        <v>266</v>
      </c>
    </row>
    <row r="1279" spans="1:7">
      <c r="A1279"/>
      <c r="B1279" s="24">
        <v>20</v>
      </c>
      <c r="C1279" s="24" t="s">
        <v>709</v>
      </c>
      <c r="D1279" s="24" t="s">
        <v>233</v>
      </c>
      <c r="E1279" s="24" t="s">
        <v>1139</v>
      </c>
      <c r="F1279" s="60">
        <v>0</v>
      </c>
      <c r="G1279" s="111">
        <v>271.3</v>
      </c>
    </row>
    <row r="1280" spans="1:7">
      <c r="A1280"/>
      <c r="B1280" s="24">
        <v>20</v>
      </c>
      <c r="C1280" s="24" t="s">
        <v>710</v>
      </c>
      <c r="D1280" s="103" t="s">
        <v>1135</v>
      </c>
      <c r="E1280" s="24" t="s">
        <v>1139</v>
      </c>
      <c r="F1280" s="60">
        <v>2471.9999999999991</v>
      </c>
      <c r="G1280" s="111">
        <v>340.5</v>
      </c>
    </row>
    <row r="1281" spans="1:7">
      <c r="A1281"/>
      <c r="B1281" s="24">
        <v>20</v>
      </c>
      <c r="C1281" s="24" t="s">
        <v>710</v>
      </c>
      <c r="D1281" s="24" t="s">
        <v>233</v>
      </c>
      <c r="E1281" s="24" t="s">
        <v>1139</v>
      </c>
      <c r="F1281" s="60">
        <v>0</v>
      </c>
      <c r="G1281" s="111">
        <v>347.3</v>
      </c>
    </row>
    <row r="1282" spans="1:7">
      <c r="A1282"/>
      <c r="B1282" s="24">
        <v>20</v>
      </c>
      <c r="C1282" s="24" t="s">
        <v>711</v>
      </c>
      <c r="D1282" s="103" t="s">
        <v>1135</v>
      </c>
      <c r="E1282" s="24" t="s">
        <v>1139</v>
      </c>
      <c r="F1282" s="60">
        <v>1101</v>
      </c>
      <c r="G1282" s="111">
        <v>374.72</v>
      </c>
    </row>
    <row r="1283" spans="1:7">
      <c r="A1283"/>
      <c r="B1283" s="24">
        <v>20</v>
      </c>
      <c r="C1283" s="24" t="s">
        <v>711</v>
      </c>
      <c r="D1283" s="24" t="s">
        <v>233</v>
      </c>
      <c r="E1283" s="24" t="s">
        <v>1139</v>
      </c>
      <c r="F1283" s="60">
        <v>72</v>
      </c>
      <c r="G1283" s="111">
        <v>419</v>
      </c>
    </row>
    <row r="1284" spans="1:7">
      <c r="A1284"/>
      <c r="B1284" s="24">
        <v>20</v>
      </c>
      <c r="C1284" s="24" t="s">
        <v>712</v>
      </c>
      <c r="D1284" s="103" t="s">
        <v>1135</v>
      </c>
      <c r="E1284" s="24" t="s">
        <v>1139</v>
      </c>
      <c r="F1284" s="60">
        <v>1119.5200000000004</v>
      </c>
      <c r="G1284" s="111">
        <v>276.5</v>
      </c>
    </row>
    <row r="1285" spans="1:7">
      <c r="A1285"/>
      <c r="B1285" s="24">
        <v>20</v>
      </c>
      <c r="C1285" s="24" t="s">
        <v>712</v>
      </c>
      <c r="D1285" s="24" t="s">
        <v>233</v>
      </c>
      <c r="E1285" s="24" t="s">
        <v>1139</v>
      </c>
      <c r="F1285" s="60">
        <v>178.15</v>
      </c>
      <c r="G1285" s="111">
        <v>282</v>
      </c>
    </row>
    <row r="1286" spans="1:7">
      <c r="A1286"/>
      <c r="B1286" s="24">
        <v>20</v>
      </c>
      <c r="C1286" s="24" t="s">
        <v>713</v>
      </c>
      <c r="D1286" s="103" t="s">
        <v>1135</v>
      </c>
      <c r="E1286" s="24" t="s">
        <v>1139</v>
      </c>
      <c r="F1286" s="60">
        <v>1472</v>
      </c>
      <c r="G1286" s="111">
        <v>356</v>
      </c>
    </row>
    <row r="1287" spans="1:7">
      <c r="A1287"/>
      <c r="B1287" s="24">
        <v>20</v>
      </c>
      <c r="C1287" s="24" t="s">
        <v>713</v>
      </c>
      <c r="D1287" s="24" t="s">
        <v>233</v>
      </c>
      <c r="E1287" s="24" t="s">
        <v>1139</v>
      </c>
      <c r="F1287" s="60">
        <v>36</v>
      </c>
      <c r="G1287" s="111">
        <v>363</v>
      </c>
    </row>
    <row r="1288" spans="1:7">
      <c r="A1288"/>
      <c r="B1288" s="24">
        <v>20</v>
      </c>
      <c r="C1288" s="24" t="s">
        <v>20</v>
      </c>
      <c r="D1288" s="103" t="s">
        <v>1135</v>
      </c>
      <c r="E1288" s="24" t="s">
        <v>1139</v>
      </c>
      <c r="F1288" s="60">
        <v>2466.6200000000008</v>
      </c>
      <c r="G1288" s="111">
        <v>393.62</v>
      </c>
    </row>
    <row r="1289" spans="1:7">
      <c r="A1289"/>
      <c r="B1289" s="24">
        <v>20</v>
      </c>
      <c r="C1289" s="24" t="s">
        <v>20</v>
      </c>
      <c r="D1289" s="24" t="s">
        <v>233</v>
      </c>
      <c r="E1289" s="24" t="s">
        <v>1139</v>
      </c>
      <c r="F1289" s="60">
        <v>0</v>
      </c>
      <c r="G1289" s="111">
        <v>440</v>
      </c>
    </row>
    <row r="1290" spans="1:7">
      <c r="A1290"/>
      <c r="B1290" s="24" t="s">
        <v>234</v>
      </c>
      <c r="C1290" s="24" t="s">
        <v>20</v>
      </c>
      <c r="D1290" s="24" t="s">
        <v>233</v>
      </c>
      <c r="E1290" s="24" t="s">
        <v>1139</v>
      </c>
      <c r="F1290" s="60">
        <v>1058.6500000000001</v>
      </c>
      <c r="G1290" s="111">
        <v>526.20000000000005</v>
      </c>
    </row>
    <row r="1291" spans="1:7">
      <c r="A1291"/>
      <c r="B1291" s="24">
        <v>20</v>
      </c>
      <c r="C1291" s="24" t="s">
        <v>880</v>
      </c>
      <c r="D1291" s="103" t="s">
        <v>1135</v>
      </c>
      <c r="E1291" s="24" t="s">
        <v>1139</v>
      </c>
      <c r="F1291" s="60">
        <v>720</v>
      </c>
      <c r="G1291" s="111">
        <v>286</v>
      </c>
    </row>
    <row r="1292" spans="1:7">
      <c r="A1292"/>
      <c r="B1292" s="24">
        <v>20</v>
      </c>
      <c r="C1292" s="24" t="s">
        <v>880</v>
      </c>
      <c r="D1292" s="24" t="s">
        <v>233</v>
      </c>
      <c r="E1292" s="24" t="s">
        <v>1139</v>
      </c>
      <c r="F1292" s="60">
        <v>0</v>
      </c>
      <c r="G1292" s="111">
        <v>292</v>
      </c>
    </row>
    <row r="1293" spans="1:7">
      <c r="A1293"/>
      <c r="B1293" s="24">
        <v>20</v>
      </c>
      <c r="C1293" s="24" t="s">
        <v>714</v>
      </c>
      <c r="D1293" s="103" t="s">
        <v>1135</v>
      </c>
      <c r="E1293" s="24" t="s">
        <v>1139</v>
      </c>
      <c r="F1293" s="60">
        <v>2198.66</v>
      </c>
      <c r="G1293" s="111">
        <v>450.12</v>
      </c>
    </row>
    <row r="1294" spans="1:7">
      <c r="A1294"/>
      <c r="B1294" s="24">
        <v>20</v>
      </c>
      <c r="C1294" s="24" t="s">
        <v>714</v>
      </c>
      <c r="D1294" s="24" t="s">
        <v>233</v>
      </c>
      <c r="E1294" s="24" t="s">
        <v>1139</v>
      </c>
      <c r="F1294" s="60">
        <v>53</v>
      </c>
      <c r="G1294" s="111">
        <v>459.12</v>
      </c>
    </row>
    <row r="1295" spans="1:7">
      <c r="A1295"/>
      <c r="B1295" s="24">
        <v>20</v>
      </c>
      <c r="C1295" s="24" t="s">
        <v>715</v>
      </c>
      <c r="D1295" s="103" t="s">
        <v>1135</v>
      </c>
      <c r="E1295" s="24" t="s">
        <v>1139</v>
      </c>
      <c r="F1295" s="60">
        <v>642.19999999999936</v>
      </c>
      <c r="G1295" s="111">
        <v>460</v>
      </c>
    </row>
    <row r="1296" spans="1:7">
      <c r="A1296"/>
      <c r="B1296" s="24">
        <v>20</v>
      </c>
      <c r="C1296" s="24" t="s">
        <v>715</v>
      </c>
      <c r="D1296" s="24" t="s">
        <v>233</v>
      </c>
      <c r="E1296" s="24" t="s">
        <v>1139</v>
      </c>
      <c r="F1296" s="60">
        <v>138</v>
      </c>
      <c r="G1296" s="111">
        <v>469</v>
      </c>
    </row>
    <row r="1297" spans="1:7">
      <c r="A1297"/>
      <c r="B1297" s="24">
        <v>20</v>
      </c>
      <c r="C1297" s="24" t="s">
        <v>111</v>
      </c>
      <c r="D1297" s="103" t="s">
        <v>1135</v>
      </c>
      <c r="E1297" s="24" t="s">
        <v>1139</v>
      </c>
      <c r="F1297" s="60">
        <v>1002</v>
      </c>
      <c r="G1297" s="111">
        <v>469.5</v>
      </c>
    </row>
    <row r="1298" spans="1:7">
      <c r="A1298"/>
      <c r="B1298" s="24">
        <v>20</v>
      </c>
      <c r="C1298" s="24" t="s">
        <v>111</v>
      </c>
      <c r="D1298" s="24" t="s">
        <v>233</v>
      </c>
      <c r="E1298" s="24" t="s">
        <v>1139</v>
      </c>
      <c r="F1298" s="60">
        <v>30</v>
      </c>
      <c r="G1298" s="111">
        <v>479</v>
      </c>
    </row>
    <row r="1299" spans="1:7">
      <c r="A1299"/>
      <c r="B1299" s="28">
        <v>10</v>
      </c>
      <c r="C1299" s="24" t="s">
        <v>112</v>
      </c>
      <c r="D1299" s="24" t="s">
        <v>233</v>
      </c>
      <c r="E1299" s="24" t="s">
        <v>1139</v>
      </c>
      <c r="F1299" s="60">
        <v>436</v>
      </c>
      <c r="G1299" s="111">
        <v>500</v>
      </c>
    </row>
    <row r="1300" spans="1:7">
      <c r="A1300"/>
      <c r="B1300" s="24">
        <v>20</v>
      </c>
      <c r="C1300" s="24" t="s">
        <v>112</v>
      </c>
      <c r="D1300" s="103" t="s">
        <v>1135</v>
      </c>
      <c r="E1300" s="24" t="s">
        <v>1139</v>
      </c>
      <c r="F1300" s="60">
        <v>3501</v>
      </c>
      <c r="G1300" s="111">
        <v>447.2</v>
      </c>
    </row>
    <row r="1301" spans="1:7">
      <c r="A1301"/>
      <c r="B1301" s="24">
        <v>20</v>
      </c>
      <c r="C1301" s="24" t="s">
        <v>112</v>
      </c>
      <c r="D1301" s="24" t="s">
        <v>233</v>
      </c>
      <c r="E1301" s="24" t="s">
        <v>1139</v>
      </c>
      <c r="F1301" s="60">
        <v>0</v>
      </c>
      <c r="G1301" s="111">
        <v>500</v>
      </c>
    </row>
    <row r="1302" spans="1:7">
      <c r="A1302"/>
      <c r="B1302" s="24">
        <v>20</v>
      </c>
      <c r="C1302" s="24" t="s">
        <v>112</v>
      </c>
      <c r="D1302" s="104" t="s">
        <v>930</v>
      </c>
      <c r="E1302" s="24" t="s">
        <v>1139</v>
      </c>
      <c r="F1302" s="106">
        <v>551</v>
      </c>
      <c r="G1302" s="114">
        <v>383.3</v>
      </c>
    </row>
    <row r="1303" spans="1:7">
      <c r="A1303"/>
      <c r="B1303" s="24" t="s">
        <v>234</v>
      </c>
      <c r="C1303" s="24" t="s">
        <v>112</v>
      </c>
      <c r="D1303" s="24" t="s">
        <v>233</v>
      </c>
      <c r="E1303" s="24" t="s">
        <v>1139</v>
      </c>
      <c r="F1303" s="60">
        <v>389.4</v>
      </c>
      <c r="G1303" s="111">
        <v>597.79999999999995</v>
      </c>
    </row>
    <row r="1304" spans="1:7">
      <c r="A1304"/>
      <c r="B1304" s="24">
        <v>20</v>
      </c>
      <c r="C1304" s="24" t="s">
        <v>716</v>
      </c>
      <c r="D1304" s="103" t="s">
        <v>1135</v>
      </c>
      <c r="E1304" s="24" t="s">
        <v>1139</v>
      </c>
      <c r="F1304" s="60">
        <v>3150</v>
      </c>
      <c r="G1304" s="111">
        <v>416.1</v>
      </c>
    </row>
    <row r="1305" spans="1:7">
      <c r="A1305"/>
      <c r="B1305" s="24">
        <v>20</v>
      </c>
      <c r="C1305" s="24" t="s">
        <v>716</v>
      </c>
      <c r="D1305" s="24" t="s">
        <v>233</v>
      </c>
      <c r="E1305" s="24" t="s">
        <v>1139</v>
      </c>
      <c r="F1305" s="60">
        <v>354</v>
      </c>
      <c r="G1305" s="111">
        <v>424.42</v>
      </c>
    </row>
    <row r="1306" spans="1:7">
      <c r="A1306"/>
      <c r="B1306" s="24">
        <v>20</v>
      </c>
      <c r="C1306" s="24" t="s">
        <v>717</v>
      </c>
      <c r="D1306" s="103" t="s">
        <v>1135</v>
      </c>
      <c r="E1306" s="24" t="s">
        <v>1139</v>
      </c>
      <c r="F1306" s="60">
        <v>2184</v>
      </c>
      <c r="G1306" s="111">
        <v>510.65</v>
      </c>
    </row>
    <row r="1307" spans="1:7">
      <c r="A1307"/>
      <c r="B1307" s="24">
        <v>20</v>
      </c>
      <c r="C1307" s="24" t="s">
        <v>717</v>
      </c>
      <c r="D1307" s="24" t="s">
        <v>233</v>
      </c>
      <c r="E1307" s="24" t="s">
        <v>1139</v>
      </c>
      <c r="F1307" s="60">
        <v>6</v>
      </c>
      <c r="G1307" s="111">
        <v>521</v>
      </c>
    </row>
    <row r="1308" spans="1:7">
      <c r="A1308"/>
      <c r="B1308" s="24">
        <v>20</v>
      </c>
      <c r="C1308" s="24" t="s">
        <v>115</v>
      </c>
      <c r="D1308" s="103" t="s">
        <v>1135</v>
      </c>
      <c r="E1308" s="24" t="s">
        <v>1139</v>
      </c>
      <c r="F1308" s="60">
        <v>1228.4499999999998</v>
      </c>
      <c r="G1308" s="111">
        <v>531</v>
      </c>
    </row>
    <row r="1309" spans="1:7">
      <c r="A1309"/>
      <c r="B1309" s="24">
        <v>20</v>
      </c>
      <c r="C1309" s="24" t="s">
        <v>115</v>
      </c>
      <c r="D1309" s="24" t="s">
        <v>233</v>
      </c>
      <c r="E1309" s="24" t="s">
        <v>1139</v>
      </c>
      <c r="F1309" s="60">
        <v>0</v>
      </c>
      <c r="G1309" s="111">
        <v>541.62</v>
      </c>
    </row>
    <row r="1310" spans="1:7">
      <c r="A1310"/>
      <c r="B1310" s="24">
        <v>20</v>
      </c>
      <c r="C1310" s="24" t="s">
        <v>843</v>
      </c>
      <c r="D1310" s="103" t="s">
        <v>1135</v>
      </c>
      <c r="E1310" s="24" t="s">
        <v>1139</v>
      </c>
      <c r="F1310" s="60">
        <v>108</v>
      </c>
      <c r="G1310" s="111">
        <v>455.4</v>
      </c>
    </row>
    <row r="1311" spans="1:7">
      <c r="A1311"/>
      <c r="B1311" s="24">
        <v>20</v>
      </c>
      <c r="C1311" s="24" t="s">
        <v>843</v>
      </c>
      <c r="D1311" s="24" t="s">
        <v>233</v>
      </c>
      <c r="E1311" s="24" t="s">
        <v>1139</v>
      </c>
      <c r="F1311" s="60">
        <v>0</v>
      </c>
      <c r="G1311" s="111">
        <v>464.5</v>
      </c>
    </row>
    <row r="1312" spans="1:7">
      <c r="A1312"/>
      <c r="B1312" s="24">
        <v>20</v>
      </c>
      <c r="C1312" s="24" t="s">
        <v>718</v>
      </c>
      <c r="D1312" s="103" t="s">
        <v>1135</v>
      </c>
      <c r="E1312" s="24" t="s">
        <v>1139</v>
      </c>
      <c r="F1312" s="60">
        <v>96</v>
      </c>
      <c r="G1312" s="111">
        <v>563.63</v>
      </c>
    </row>
    <row r="1313" spans="1:9">
      <c r="A1313"/>
      <c r="B1313" s="24">
        <v>20</v>
      </c>
      <c r="C1313" s="24" t="s">
        <v>718</v>
      </c>
      <c r="D1313" s="24" t="s">
        <v>233</v>
      </c>
      <c r="E1313" s="24" t="s">
        <v>1139</v>
      </c>
      <c r="F1313" s="60">
        <v>24</v>
      </c>
      <c r="G1313" s="111">
        <v>573.70000000000005</v>
      </c>
    </row>
    <row r="1314" spans="1:9">
      <c r="A1314"/>
      <c r="B1314" s="24">
        <v>20</v>
      </c>
      <c r="C1314" s="24" t="s">
        <v>719</v>
      </c>
      <c r="D1314" s="103" t="s">
        <v>1135</v>
      </c>
      <c r="E1314" s="24" t="s">
        <v>1139</v>
      </c>
      <c r="F1314" s="60">
        <v>660</v>
      </c>
      <c r="G1314" s="111">
        <v>478.72</v>
      </c>
    </row>
    <row r="1315" spans="1:9">
      <c r="A1315"/>
      <c r="B1315" s="24">
        <v>20</v>
      </c>
      <c r="C1315" s="24" t="s">
        <v>719</v>
      </c>
      <c r="D1315" s="24" t="s">
        <v>233</v>
      </c>
      <c r="E1315" s="24" t="s">
        <v>1139</v>
      </c>
      <c r="F1315" s="60">
        <v>0</v>
      </c>
      <c r="G1315" s="111">
        <v>488.3</v>
      </c>
    </row>
    <row r="1316" spans="1:9">
      <c r="A1316"/>
      <c r="B1316" s="35">
        <v>20</v>
      </c>
      <c r="C1316" s="35" t="s">
        <v>720</v>
      </c>
      <c r="D1316" s="103" t="s">
        <v>1135</v>
      </c>
      <c r="E1316" s="24" t="s">
        <v>1139</v>
      </c>
      <c r="F1316" s="60">
        <v>942</v>
      </c>
      <c r="G1316" s="111">
        <v>593.4</v>
      </c>
    </row>
    <row r="1317" spans="1:9">
      <c r="A1317"/>
      <c r="B1317" s="35">
        <v>20</v>
      </c>
      <c r="C1317" s="35" t="s">
        <v>720</v>
      </c>
      <c r="D1317" s="24" t="s">
        <v>233</v>
      </c>
      <c r="E1317" s="24" t="s">
        <v>1139</v>
      </c>
      <c r="F1317" s="60">
        <v>6</v>
      </c>
      <c r="G1317" s="111">
        <v>605.29999999999995</v>
      </c>
    </row>
    <row r="1318" spans="1:9">
      <c r="A1318"/>
      <c r="B1318" s="24">
        <v>20</v>
      </c>
      <c r="C1318" s="24" t="s">
        <v>721</v>
      </c>
      <c r="D1318" s="103" t="s">
        <v>1135</v>
      </c>
      <c r="E1318" s="24" t="s">
        <v>1139</v>
      </c>
      <c r="F1318" s="60">
        <v>1160.1999999999991</v>
      </c>
      <c r="G1318" s="111">
        <v>613.4</v>
      </c>
    </row>
    <row r="1319" spans="1:9">
      <c r="A1319"/>
      <c r="B1319" s="24">
        <v>20</v>
      </c>
      <c r="C1319" s="24" t="s">
        <v>721</v>
      </c>
      <c r="D1319" s="24" t="s">
        <v>233</v>
      </c>
      <c r="E1319" s="24" t="s">
        <v>1139</v>
      </c>
      <c r="F1319" s="58">
        <v>0</v>
      </c>
      <c r="G1319" s="111">
        <v>625.65</v>
      </c>
    </row>
    <row r="1320" spans="1:9">
      <c r="A1320"/>
      <c r="B1320" s="24">
        <v>20</v>
      </c>
      <c r="C1320" s="24" t="s">
        <v>1137</v>
      </c>
      <c r="D1320" s="103" t="s">
        <v>1135</v>
      </c>
      <c r="E1320" s="24" t="s">
        <v>1139</v>
      </c>
      <c r="F1320" s="58">
        <v>576</v>
      </c>
      <c r="G1320" s="111">
        <v>633.30999999999995</v>
      </c>
    </row>
    <row r="1321" spans="1:9">
      <c r="A1321"/>
      <c r="B1321" s="94"/>
      <c r="C1321" s="94"/>
      <c r="D1321" s="118"/>
      <c r="E1321" s="119"/>
      <c r="F1321" s="120"/>
      <c r="G1321" s="100"/>
    </row>
    <row r="1322" spans="1:9" ht="16">
      <c r="A1322" s="125" t="s">
        <v>1026</v>
      </c>
      <c r="B1322" s="126"/>
      <c r="C1322" s="126"/>
      <c r="D1322" s="126"/>
      <c r="E1322" s="126"/>
      <c r="F1322" s="126"/>
      <c r="G1322" s="126"/>
      <c r="H1322" s="126"/>
      <c r="I1322" s="127"/>
    </row>
    <row r="1323" spans="1:9">
      <c r="B1323" s="36">
        <v>20</v>
      </c>
      <c r="C1323" s="36" t="s">
        <v>722</v>
      </c>
      <c r="D1323" s="109" t="s">
        <v>1135</v>
      </c>
      <c r="E1323" s="36" t="s">
        <v>1140</v>
      </c>
      <c r="F1323" s="62">
        <v>0.91500000000000048</v>
      </c>
      <c r="G1323" s="25">
        <v>254800</v>
      </c>
    </row>
    <row r="1324" spans="1:9">
      <c r="B1324" s="36">
        <v>20</v>
      </c>
      <c r="C1324" s="36" t="s">
        <v>722</v>
      </c>
      <c r="D1324" s="36" t="s">
        <v>233</v>
      </c>
      <c r="E1324" s="36" t="s">
        <v>1140</v>
      </c>
      <c r="F1324" s="62">
        <v>1.6060000000000005</v>
      </c>
      <c r="G1324" s="25">
        <v>259900</v>
      </c>
    </row>
    <row r="1325" spans="1:9">
      <c r="B1325" s="24">
        <v>20</v>
      </c>
      <c r="C1325" s="24" t="s">
        <v>723</v>
      </c>
      <c r="D1325" s="109" t="s">
        <v>1135</v>
      </c>
      <c r="E1325" s="36" t="s">
        <v>1140</v>
      </c>
      <c r="F1325" s="61">
        <v>2.66</v>
      </c>
      <c r="G1325" s="25">
        <v>241000</v>
      </c>
    </row>
    <row r="1326" spans="1:9">
      <c r="B1326" s="36">
        <v>20</v>
      </c>
      <c r="C1326" s="24" t="s">
        <v>723</v>
      </c>
      <c r="D1326" s="36" t="s">
        <v>233</v>
      </c>
      <c r="E1326" s="36" t="s">
        <v>1140</v>
      </c>
      <c r="F1326" s="62">
        <v>1.0999999999999913E-2</v>
      </c>
      <c r="G1326" s="25">
        <v>245800</v>
      </c>
    </row>
    <row r="1327" spans="1:9">
      <c r="B1327" s="24">
        <v>20</v>
      </c>
      <c r="C1327" s="24" t="s">
        <v>102</v>
      </c>
      <c r="D1327" s="109" t="s">
        <v>1135</v>
      </c>
      <c r="E1327" s="36" t="s">
        <v>1140</v>
      </c>
      <c r="F1327" s="61">
        <v>71.730000000000061</v>
      </c>
      <c r="G1327" s="25">
        <v>241000</v>
      </c>
    </row>
    <row r="1328" spans="1:9">
      <c r="B1328" s="24">
        <v>20</v>
      </c>
      <c r="C1328" s="24" t="s">
        <v>102</v>
      </c>
      <c r="D1328" s="36" t="s">
        <v>233</v>
      </c>
      <c r="E1328" s="36" t="s">
        <v>1140</v>
      </c>
      <c r="F1328" s="61">
        <v>16.191999999999997</v>
      </c>
      <c r="G1328" s="25">
        <v>268000</v>
      </c>
    </row>
    <row r="1329" spans="2:7">
      <c r="B1329" s="24">
        <v>20</v>
      </c>
      <c r="C1329" s="24" t="s">
        <v>102</v>
      </c>
      <c r="D1329" s="104" t="s">
        <v>930</v>
      </c>
      <c r="E1329" s="36" t="s">
        <v>1140</v>
      </c>
      <c r="F1329" s="107">
        <v>0.51700000000000002</v>
      </c>
      <c r="G1329" s="110">
        <v>206848</v>
      </c>
    </row>
    <row r="1330" spans="2:7">
      <c r="B1330" s="24" t="s">
        <v>234</v>
      </c>
      <c r="C1330" s="24" t="s">
        <v>102</v>
      </c>
      <c r="D1330" s="36" t="s">
        <v>233</v>
      </c>
      <c r="E1330" s="36" t="s">
        <v>1140</v>
      </c>
      <c r="F1330" s="61">
        <v>3.3470000000000018</v>
      </c>
      <c r="G1330" s="25">
        <v>322559</v>
      </c>
    </row>
    <row r="1331" spans="2:7">
      <c r="B1331" s="24">
        <v>20</v>
      </c>
      <c r="C1331" s="24" t="s">
        <v>15</v>
      </c>
      <c r="D1331" s="109" t="s">
        <v>1135</v>
      </c>
      <c r="E1331" s="36" t="s">
        <v>1140</v>
      </c>
      <c r="F1331" s="61">
        <v>17.186000000000003</v>
      </c>
      <c r="G1331" s="25">
        <v>235000</v>
      </c>
    </row>
    <row r="1332" spans="2:7">
      <c r="B1332" s="24">
        <v>20</v>
      </c>
      <c r="C1332" s="24" t="s">
        <v>15</v>
      </c>
      <c r="D1332" s="36" t="s">
        <v>233</v>
      </c>
      <c r="E1332" s="36" t="s">
        <v>1140</v>
      </c>
      <c r="F1332" s="61">
        <v>0.21500000000000008</v>
      </c>
      <c r="G1332" s="25">
        <v>256400</v>
      </c>
    </row>
    <row r="1333" spans="2:7">
      <c r="B1333" s="24" t="s">
        <v>234</v>
      </c>
      <c r="C1333" s="24" t="s">
        <v>15</v>
      </c>
      <c r="D1333" s="36" t="s">
        <v>233</v>
      </c>
      <c r="E1333" s="36" t="s">
        <v>1140</v>
      </c>
      <c r="F1333" s="61">
        <v>3.3420000000000005</v>
      </c>
      <c r="G1333" s="25">
        <v>306641</v>
      </c>
    </row>
    <row r="1334" spans="2:7">
      <c r="B1334" s="24">
        <v>20</v>
      </c>
      <c r="C1334" s="24" t="s">
        <v>724</v>
      </c>
      <c r="D1334" s="109" t="s">
        <v>1135</v>
      </c>
      <c r="E1334" s="36" t="s">
        <v>1140</v>
      </c>
      <c r="F1334" s="61">
        <v>9.743999999999998</v>
      </c>
      <c r="G1334" s="25">
        <v>218000</v>
      </c>
    </row>
    <row r="1335" spans="2:7">
      <c r="B1335" s="24">
        <v>20</v>
      </c>
      <c r="C1335" s="24" t="s">
        <v>724</v>
      </c>
      <c r="D1335" s="36" t="s">
        <v>233</v>
      </c>
      <c r="E1335" s="36" t="s">
        <v>1140</v>
      </c>
      <c r="F1335" s="61">
        <v>0</v>
      </c>
      <c r="G1335" s="25">
        <v>248000</v>
      </c>
    </row>
    <row r="1336" spans="2:7">
      <c r="B1336" s="24" t="s">
        <v>234</v>
      </c>
      <c r="C1336" s="24" t="s">
        <v>724</v>
      </c>
      <c r="D1336" s="36" t="s">
        <v>233</v>
      </c>
      <c r="E1336" s="36" t="s">
        <v>1140</v>
      </c>
      <c r="F1336" s="61">
        <v>5.6970000000000045</v>
      </c>
      <c r="G1336" s="25">
        <v>296589</v>
      </c>
    </row>
    <row r="1337" spans="2:7">
      <c r="B1337" s="24">
        <v>20</v>
      </c>
      <c r="C1337" s="24" t="s">
        <v>16</v>
      </c>
      <c r="D1337" s="109" t="s">
        <v>1135</v>
      </c>
      <c r="E1337" s="36" t="s">
        <v>1140</v>
      </c>
      <c r="F1337" s="61">
        <v>22.936000000000007</v>
      </c>
      <c r="G1337" s="25">
        <v>217000</v>
      </c>
    </row>
    <row r="1338" spans="2:7">
      <c r="B1338" s="24">
        <v>20</v>
      </c>
      <c r="C1338" s="24" t="s">
        <v>16</v>
      </c>
      <c r="D1338" s="36" t="s">
        <v>233</v>
      </c>
      <c r="E1338" s="36" t="s">
        <v>1140</v>
      </c>
      <c r="F1338" s="61">
        <v>0</v>
      </c>
      <c r="G1338" s="25">
        <v>243000</v>
      </c>
    </row>
    <row r="1339" spans="2:7">
      <c r="B1339" s="24">
        <v>20</v>
      </c>
      <c r="C1339" s="24" t="s">
        <v>16</v>
      </c>
      <c r="D1339" s="104" t="s">
        <v>930</v>
      </c>
      <c r="E1339" s="36" t="s">
        <v>1140</v>
      </c>
      <c r="F1339" s="107">
        <v>1.5</v>
      </c>
      <c r="G1339" s="102">
        <v>206830</v>
      </c>
    </row>
    <row r="1340" spans="2:7">
      <c r="B1340" s="24" t="s">
        <v>234</v>
      </c>
      <c r="C1340" s="24" t="s">
        <v>16</v>
      </c>
      <c r="D1340" s="36" t="s">
        <v>233</v>
      </c>
      <c r="E1340" s="36" t="s">
        <v>1140</v>
      </c>
      <c r="F1340" s="61">
        <v>0.61200000000000498</v>
      </c>
      <c r="G1340" s="25">
        <v>290278</v>
      </c>
    </row>
    <row r="1341" spans="2:7">
      <c r="B1341" s="24">
        <v>20</v>
      </c>
      <c r="C1341" s="24" t="s">
        <v>725</v>
      </c>
      <c r="D1341" s="109" t="s">
        <v>1135</v>
      </c>
      <c r="E1341" s="36" t="s">
        <v>1140</v>
      </c>
      <c r="F1341" s="61">
        <v>-1.1102230246251565E-16</v>
      </c>
      <c r="G1341" s="25">
        <v>234000</v>
      </c>
    </row>
    <row r="1342" spans="2:7">
      <c r="B1342" s="24">
        <v>20</v>
      </c>
      <c r="C1342" s="24" t="s">
        <v>725</v>
      </c>
      <c r="D1342" s="36" t="s">
        <v>233</v>
      </c>
      <c r="E1342" s="36" t="s">
        <v>1140</v>
      </c>
      <c r="F1342" s="61">
        <v>0</v>
      </c>
      <c r="G1342" s="25">
        <v>238700</v>
      </c>
    </row>
    <row r="1343" spans="2:7">
      <c r="B1343" s="24">
        <v>20</v>
      </c>
      <c r="C1343" s="24" t="s">
        <v>103</v>
      </c>
      <c r="D1343" s="109" t="s">
        <v>1135</v>
      </c>
      <c r="E1343" s="36" t="s">
        <v>1140</v>
      </c>
      <c r="F1343" s="61">
        <v>2.8110000000000022</v>
      </c>
      <c r="G1343" s="25">
        <v>231000</v>
      </c>
    </row>
    <row r="1344" spans="2:7">
      <c r="B1344" s="24">
        <v>20</v>
      </c>
      <c r="C1344" s="24" t="s">
        <v>103</v>
      </c>
      <c r="D1344" s="36" t="s">
        <v>233</v>
      </c>
      <c r="E1344" s="36" t="s">
        <v>1140</v>
      </c>
      <c r="F1344" s="61">
        <v>0</v>
      </c>
      <c r="G1344" s="25">
        <v>235500</v>
      </c>
    </row>
    <row r="1345" spans="2:7">
      <c r="B1345" s="24" t="s">
        <v>234</v>
      </c>
      <c r="C1345" s="24" t="s">
        <v>103</v>
      </c>
      <c r="D1345" s="36" t="s">
        <v>233</v>
      </c>
      <c r="E1345" s="36" t="s">
        <v>1140</v>
      </c>
      <c r="F1345" s="61">
        <v>6.5659999999999981</v>
      </c>
      <c r="G1345" s="25">
        <v>281649</v>
      </c>
    </row>
    <row r="1346" spans="2:7">
      <c r="B1346" s="24">
        <v>20</v>
      </c>
      <c r="C1346" s="24" t="s">
        <v>726</v>
      </c>
      <c r="D1346" s="109" t="s">
        <v>1135</v>
      </c>
      <c r="E1346" s="36" t="s">
        <v>1140</v>
      </c>
      <c r="F1346" s="61">
        <v>1.960999999999999</v>
      </c>
      <c r="G1346" s="25">
        <v>226300</v>
      </c>
    </row>
    <row r="1347" spans="2:7">
      <c r="B1347" s="24">
        <v>20</v>
      </c>
      <c r="C1347" s="24" t="s">
        <v>726</v>
      </c>
      <c r="D1347" s="36" t="s">
        <v>233</v>
      </c>
      <c r="E1347" s="36" t="s">
        <v>1140</v>
      </c>
      <c r="F1347" s="61">
        <v>0</v>
      </c>
      <c r="G1347" s="25">
        <v>230900</v>
      </c>
    </row>
    <row r="1348" spans="2:7">
      <c r="B1348" s="24" t="s">
        <v>234</v>
      </c>
      <c r="C1348" s="24" t="s">
        <v>726</v>
      </c>
      <c r="D1348" s="36" t="s">
        <v>233</v>
      </c>
      <c r="E1348" s="36" t="s">
        <v>1140</v>
      </c>
      <c r="F1348" s="61">
        <v>3.5180000000000016</v>
      </c>
      <c r="G1348" s="25">
        <v>276080</v>
      </c>
    </row>
    <row r="1349" spans="2:7">
      <c r="B1349" s="24">
        <v>20</v>
      </c>
      <c r="C1349" s="24" t="s">
        <v>879</v>
      </c>
      <c r="D1349" s="109" t="s">
        <v>1135</v>
      </c>
      <c r="E1349" s="36" t="s">
        <v>1140</v>
      </c>
      <c r="F1349" s="61">
        <v>5.0210000000000026</v>
      </c>
      <c r="G1349" s="25">
        <v>245500</v>
      </c>
    </row>
    <row r="1350" spans="2:7">
      <c r="B1350" s="24">
        <v>20</v>
      </c>
      <c r="C1350" s="24" t="s">
        <v>879</v>
      </c>
      <c r="D1350" s="36" t="s">
        <v>233</v>
      </c>
      <c r="E1350" s="36" t="s">
        <v>1140</v>
      </c>
      <c r="F1350" s="61">
        <v>0</v>
      </c>
      <c r="G1350" s="25">
        <v>250400</v>
      </c>
    </row>
    <row r="1351" spans="2:7">
      <c r="B1351" s="24">
        <v>20</v>
      </c>
      <c r="C1351" s="24" t="s">
        <v>879</v>
      </c>
      <c r="D1351" s="104" t="s">
        <v>930</v>
      </c>
      <c r="E1351" s="36" t="s">
        <v>1140</v>
      </c>
      <c r="F1351" s="107">
        <v>0.16500000000000001</v>
      </c>
      <c r="G1351" s="110">
        <v>213410</v>
      </c>
    </row>
    <row r="1352" spans="2:7">
      <c r="B1352" s="24">
        <v>20</v>
      </c>
      <c r="C1352" s="24" t="s">
        <v>727</v>
      </c>
      <c r="D1352" s="109" t="s">
        <v>1135</v>
      </c>
      <c r="E1352" s="36" t="s">
        <v>1140</v>
      </c>
      <c r="F1352" s="61">
        <v>2.5180000000000007</v>
      </c>
      <c r="G1352" s="25">
        <v>226700</v>
      </c>
    </row>
    <row r="1353" spans="2:7">
      <c r="B1353" s="24">
        <v>20</v>
      </c>
      <c r="C1353" s="24" t="s">
        <v>727</v>
      </c>
      <c r="D1353" s="36" t="s">
        <v>233</v>
      </c>
      <c r="E1353" s="36" t="s">
        <v>1140</v>
      </c>
      <c r="F1353" s="61">
        <v>0</v>
      </c>
      <c r="G1353" s="25">
        <v>266000</v>
      </c>
    </row>
    <row r="1354" spans="2:7">
      <c r="B1354" s="24">
        <v>20</v>
      </c>
      <c r="C1354" s="24" t="s">
        <v>727</v>
      </c>
      <c r="D1354" s="104" t="s">
        <v>930</v>
      </c>
      <c r="E1354" s="36" t="s">
        <v>1140</v>
      </c>
      <c r="F1354" s="107">
        <v>2.2000000000000006E-2</v>
      </c>
      <c r="G1354" s="110">
        <v>226681</v>
      </c>
    </row>
    <row r="1355" spans="2:7">
      <c r="B1355" s="24">
        <v>20</v>
      </c>
      <c r="C1355" s="24" t="s">
        <v>838</v>
      </c>
      <c r="D1355" s="109" t="s">
        <v>1135</v>
      </c>
      <c r="E1355" s="36" t="s">
        <v>1140</v>
      </c>
      <c r="F1355" s="61">
        <v>2.0059999999999993</v>
      </c>
      <c r="G1355" s="25">
        <v>248100</v>
      </c>
    </row>
    <row r="1356" spans="2:7">
      <c r="B1356" s="24">
        <v>20</v>
      </c>
      <c r="C1356" s="24" t="s">
        <v>838</v>
      </c>
      <c r="D1356" s="36" t="s">
        <v>233</v>
      </c>
      <c r="E1356" s="36" t="s">
        <v>1140</v>
      </c>
      <c r="F1356" s="61">
        <v>0</v>
      </c>
      <c r="G1356" s="25">
        <v>253100</v>
      </c>
    </row>
    <row r="1357" spans="2:7">
      <c r="B1357" s="24">
        <v>20</v>
      </c>
      <c r="C1357" s="24" t="s">
        <v>1086</v>
      </c>
      <c r="D1357" s="109" t="s">
        <v>1135</v>
      </c>
      <c r="E1357" s="36" t="s">
        <v>1140</v>
      </c>
      <c r="F1357" s="61">
        <v>4.4755865680201623E-16</v>
      </c>
      <c r="G1357" s="25">
        <v>223900</v>
      </c>
    </row>
    <row r="1358" spans="2:7">
      <c r="B1358" s="24">
        <v>20</v>
      </c>
      <c r="C1358" s="24" t="s">
        <v>1086</v>
      </c>
      <c r="D1358" s="36" t="s">
        <v>233</v>
      </c>
      <c r="E1358" s="36" t="s">
        <v>1140</v>
      </c>
      <c r="F1358" s="61">
        <v>0</v>
      </c>
      <c r="G1358" s="25">
        <v>228400</v>
      </c>
    </row>
    <row r="1359" spans="2:7">
      <c r="B1359" s="24">
        <v>20</v>
      </c>
      <c r="C1359" s="24" t="s">
        <v>728</v>
      </c>
      <c r="D1359" s="109" t="s">
        <v>1135</v>
      </c>
      <c r="E1359" s="36" t="s">
        <v>1140</v>
      </c>
      <c r="F1359" s="61">
        <v>5.543000000000001</v>
      </c>
      <c r="G1359" s="25">
        <v>257400</v>
      </c>
    </row>
    <row r="1360" spans="2:7">
      <c r="B1360" s="24">
        <v>20</v>
      </c>
      <c r="C1360" s="24" t="s">
        <v>728</v>
      </c>
      <c r="D1360" s="36" t="s">
        <v>233</v>
      </c>
      <c r="E1360" s="36" t="s">
        <v>1140</v>
      </c>
      <c r="F1360" s="61">
        <v>0</v>
      </c>
      <c r="G1360" s="25">
        <v>262600</v>
      </c>
    </row>
    <row r="1361" spans="2:7">
      <c r="B1361" s="24">
        <v>20</v>
      </c>
      <c r="C1361" s="24" t="s">
        <v>729</v>
      </c>
      <c r="D1361" s="109" t="s">
        <v>1135</v>
      </c>
      <c r="E1361" s="36" t="s">
        <v>1140</v>
      </c>
      <c r="F1361" s="61">
        <v>4.8433479449272454E-15</v>
      </c>
      <c r="G1361" s="25">
        <v>213000</v>
      </c>
    </row>
    <row r="1362" spans="2:7">
      <c r="B1362" s="24">
        <v>20</v>
      </c>
      <c r="C1362" s="24" t="s">
        <v>729</v>
      </c>
      <c r="D1362" s="36" t="s">
        <v>233</v>
      </c>
      <c r="E1362" s="36" t="s">
        <v>1140</v>
      </c>
      <c r="F1362" s="61">
        <v>-3.5214886562329184E-16</v>
      </c>
      <c r="G1362" s="25">
        <v>249000</v>
      </c>
    </row>
    <row r="1363" spans="2:7">
      <c r="B1363" s="24" t="s">
        <v>234</v>
      </c>
      <c r="C1363" s="24" t="s">
        <v>729</v>
      </c>
      <c r="D1363" s="36" t="s">
        <v>233</v>
      </c>
      <c r="E1363" s="36" t="s">
        <v>1140</v>
      </c>
      <c r="F1363" s="61">
        <v>4.6143644460983069E-16</v>
      </c>
      <c r="G1363" s="25">
        <v>299015</v>
      </c>
    </row>
    <row r="1364" spans="2:7">
      <c r="B1364" s="24">
        <v>20</v>
      </c>
      <c r="C1364" s="24" t="s">
        <v>730</v>
      </c>
      <c r="D1364" s="109" t="s">
        <v>1135</v>
      </c>
      <c r="E1364" s="36" t="s">
        <v>1140</v>
      </c>
      <c r="F1364" s="61">
        <v>8.3459999999999983</v>
      </c>
      <c r="G1364" s="25">
        <v>188500</v>
      </c>
    </row>
    <row r="1365" spans="2:7">
      <c r="B1365" s="24">
        <v>20</v>
      </c>
      <c r="C1365" s="24" t="s">
        <v>730</v>
      </c>
      <c r="D1365" s="36" t="s">
        <v>233</v>
      </c>
      <c r="E1365" s="36" t="s">
        <v>1140</v>
      </c>
      <c r="F1365" s="61">
        <v>0</v>
      </c>
      <c r="G1365" s="25">
        <v>245800</v>
      </c>
    </row>
    <row r="1366" spans="2:7">
      <c r="B1366" s="24">
        <v>20</v>
      </c>
      <c r="C1366" s="24" t="s">
        <v>730</v>
      </c>
      <c r="D1366" s="104" t="s">
        <v>930</v>
      </c>
      <c r="E1366" s="36" t="s">
        <v>1140</v>
      </c>
      <c r="F1366" s="107">
        <v>0.24299999999999999</v>
      </c>
      <c r="G1366" s="110">
        <v>188531</v>
      </c>
    </row>
    <row r="1367" spans="2:7">
      <c r="B1367" s="24">
        <v>20</v>
      </c>
      <c r="C1367" s="24" t="s">
        <v>731</v>
      </c>
      <c r="D1367" s="109" t="s">
        <v>1135</v>
      </c>
      <c r="E1367" s="36" t="s">
        <v>1140</v>
      </c>
      <c r="F1367" s="61">
        <v>3.9320000000000017</v>
      </c>
      <c r="G1367" s="25">
        <v>224000</v>
      </c>
    </row>
    <row r="1368" spans="2:7">
      <c r="B1368" s="24">
        <v>20</v>
      </c>
      <c r="C1368" s="24" t="s">
        <v>731</v>
      </c>
      <c r="D1368" s="36" t="s">
        <v>233</v>
      </c>
      <c r="E1368" s="36" t="s">
        <v>1140</v>
      </c>
      <c r="F1368" s="61">
        <v>0</v>
      </c>
      <c r="G1368" s="25">
        <v>242200</v>
      </c>
    </row>
    <row r="1369" spans="2:7">
      <c r="B1369" s="24" t="s">
        <v>234</v>
      </c>
      <c r="C1369" s="24" t="s">
        <v>731</v>
      </c>
      <c r="D1369" s="36" t="s">
        <v>233</v>
      </c>
      <c r="E1369" s="36" t="s">
        <v>1140</v>
      </c>
      <c r="F1369" s="61">
        <v>2.5749999999999997</v>
      </c>
      <c r="G1369" s="25">
        <v>289613</v>
      </c>
    </row>
    <row r="1370" spans="2:7">
      <c r="B1370" s="24">
        <v>20</v>
      </c>
      <c r="C1370" s="24" t="s">
        <v>732</v>
      </c>
      <c r="D1370" s="109" t="s">
        <v>1135</v>
      </c>
      <c r="E1370" s="36" t="s">
        <v>1140</v>
      </c>
      <c r="F1370" s="61">
        <v>16.711000000000009</v>
      </c>
      <c r="G1370" s="25">
        <v>182000</v>
      </c>
    </row>
    <row r="1371" spans="2:7">
      <c r="B1371" s="24">
        <v>20</v>
      </c>
      <c r="C1371" s="24" t="s">
        <v>732</v>
      </c>
      <c r="D1371" s="36" t="s">
        <v>233</v>
      </c>
      <c r="E1371" s="36" t="s">
        <v>1140</v>
      </c>
      <c r="F1371" s="61">
        <v>2.1789999999999998</v>
      </c>
      <c r="G1371" s="25">
        <v>232600</v>
      </c>
    </row>
    <row r="1372" spans="2:7" ht="26">
      <c r="B1372" s="24">
        <v>20</v>
      </c>
      <c r="C1372" s="24" t="s">
        <v>732</v>
      </c>
      <c r="D1372" s="37" t="s">
        <v>939</v>
      </c>
      <c r="E1372" s="36" t="s">
        <v>1140</v>
      </c>
      <c r="F1372" s="107">
        <v>0.38100000000000001</v>
      </c>
      <c r="G1372" s="56">
        <v>181956</v>
      </c>
    </row>
    <row r="1373" spans="2:7">
      <c r="B1373" s="24" t="s">
        <v>234</v>
      </c>
      <c r="C1373" s="24" t="s">
        <v>732</v>
      </c>
      <c r="D1373" s="36" t="s">
        <v>233</v>
      </c>
      <c r="E1373" s="36" t="s">
        <v>1140</v>
      </c>
      <c r="F1373" s="61">
        <v>3.3000000000000025</v>
      </c>
      <c r="G1373" s="25">
        <v>283742</v>
      </c>
    </row>
    <row r="1374" spans="2:7">
      <c r="B1374" s="24">
        <v>20</v>
      </c>
      <c r="C1374" s="24" t="s">
        <v>733</v>
      </c>
      <c r="D1374" s="109" t="s">
        <v>1135</v>
      </c>
      <c r="E1374" s="36" t="s">
        <v>1140</v>
      </c>
      <c r="F1374" s="61">
        <v>5.320999999999998</v>
      </c>
      <c r="G1374" s="25">
        <v>226000</v>
      </c>
    </row>
    <row r="1375" spans="2:7">
      <c r="B1375" s="24">
        <v>20</v>
      </c>
      <c r="C1375" s="24" t="s">
        <v>733</v>
      </c>
      <c r="D1375" s="36" t="s">
        <v>233</v>
      </c>
      <c r="E1375" s="36" t="s">
        <v>1140</v>
      </c>
      <c r="F1375" s="61">
        <v>0</v>
      </c>
      <c r="G1375" s="25">
        <v>230500</v>
      </c>
    </row>
    <row r="1376" spans="2:7">
      <c r="B1376" s="24">
        <v>20</v>
      </c>
      <c r="C1376" s="24" t="s">
        <v>734</v>
      </c>
      <c r="D1376" s="109" t="s">
        <v>1135</v>
      </c>
      <c r="E1376" s="36" t="s">
        <v>1140</v>
      </c>
      <c r="F1376" s="61">
        <v>8.7089999999999979</v>
      </c>
      <c r="G1376" s="25">
        <v>254300</v>
      </c>
    </row>
    <row r="1377" spans="2:7">
      <c r="B1377" s="24">
        <v>20</v>
      </c>
      <c r="C1377" s="24" t="s">
        <v>734</v>
      </c>
      <c r="D1377" s="36" t="s">
        <v>233</v>
      </c>
      <c r="E1377" s="36" t="s">
        <v>1140</v>
      </c>
      <c r="F1377" s="61">
        <v>0</v>
      </c>
      <c r="G1377" s="25">
        <v>259400</v>
      </c>
    </row>
    <row r="1378" spans="2:7">
      <c r="B1378" s="24">
        <v>20</v>
      </c>
      <c r="C1378" s="24" t="s">
        <v>18</v>
      </c>
      <c r="D1378" s="109" t="s">
        <v>1135</v>
      </c>
      <c r="E1378" s="36" t="s">
        <v>1140</v>
      </c>
      <c r="F1378" s="61">
        <v>3.54</v>
      </c>
      <c r="G1378" s="25">
        <v>220500</v>
      </c>
    </row>
    <row r="1379" spans="2:7">
      <c r="B1379" s="24">
        <v>20</v>
      </c>
      <c r="C1379" s="24" t="s">
        <v>18</v>
      </c>
      <c r="D1379" s="36" t="s">
        <v>233</v>
      </c>
      <c r="E1379" s="36" t="s">
        <v>1140</v>
      </c>
      <c r="F1379" s="61">
        <v>-3.372302437298913E-15</v>
      </c>
      <c r="G1379" s="25">
        <v>247100</v>
      </c>
    </row>
    <row r="1380" spans="2:7">
      <c r="B1380" s="24" t="s">
        <v>234</v>
      </c>
      <c r="C1380" s="24" t="s">
        <v>18</v>
      </c>
      <c r="D1380" s="36" t="s">
        <v>233</v>
      </c>
      <c r="E1380" s="36" t="s">
        <v>1140</v>
      </c>
      <c r="F1380" s="61">
        <v>2.5210000000000008</v>
      </c>
      <c r="G1380" s="25">
        <v>295551</v>
      </c>
    </row>
    <row r="1381" spans="2:7">
      <c r="B1381" s="24">
        <v>20</v>
      </c>
      <c r="C1381" s="24" t="s">
        <v>108</v>
      </c>
      <c r="D1381" s="109" t="s">
        <v>1135</v>
      </c>
      <c r="E1381" s="36" t="s">
        <v>1140</v>
      </c>
      <c r="F1381" s="61">
        <v>4.9730000000000034</v>
      </c>
      <c r="G1381" s="25">
        <v>204000</v>
      </c>
    </row>
    <row r="1382" spans="2:7">
      <c r="B1382" s="24">
        <v>20</v>
      </c>
      <c r="C1382" s="24" t="s">
        <v>108</v>
      </c>
      <c r="D1382" s="36" t="s">
        <v>233</v>
      </c>
      <c r="E1382" s="36" t="s">
        <v>1140</v>
      </c>
      <c r="F1382" s="61">
        <v>3.0000000000000001E-3</v>
      </c>
      <c r="G1382" s="25">
        <v>234000</v>
      </c>
    </row>
    <row r="1383" spans="2:7">
      <c r="B1383" s="24">
        <v>20</v>
      </c>
      <c r="C1383" s="24" t="s">
        <v>108</v>
      </c>
      <c r="D1383" s="104" t="s">
        <v>930</v>
      </c>
      <c r="E1383" s="36" t="s">
        <v>1140</v>
      </c>
      <c r="F1383" s="107">
        <v>0.40899999999999997</v>
      </c>
      <c r="G1383" s="110">
        <v>204077</v>
      </c>
    </row>
    <row r="1384" spans="2:7">
      <c r="B1384" s="24">
        <v>20</v>
      </c>
      <c r="C1384" s="24" t="s">
        <v>19</v>
      </c>
      <c r="D1384" s="109" t="s">
        <v>1135</v>
      </c>
      <c r="E1384" s="36" t="s">
        <v>1140</v>
      </c>
      <c r="F1384" s="61">
        <v>-8.3266726846886741E-16</v>
      </c>
      <c r="G1384" s="25">
        <v>210000</v>
      </c>
    </row>
    <row r="1385" spans="2:7">
      <c r="B1385" s="24">
        <v>20</v>
      </c>
      <c r="C1385" s="24" t="s">
        <v>19</v>
      </c>
      <c r="D1385" s="36" t="s">
        <v>233</v>
      </c>
      <c r="E1385" s="36" t="s">
        <v>1140</v>
      </c>
      <c r="F1385" s="61">
        <v>3.0149999999999997</v>
      </c>
      <c r="G1385" s="25">
        <v>234800</v>
      </c>
    </row>
    <row r="1386" spans="2:7">
      <c r="B1386" s="24" t="s">
        <v>234</v>
      </c>
      <c r="C1386" s="24" t="s">
        <v>19</v>
      </c>
      <c r="D1386" s="36" t="s">
        <v>233</v>
      </c>
      <c r="E1386" s="36" t="s">
        <v>1140</v>
      </c>
      <c r="F1386" s="61">
        <v>3.724000000000002</v>
      </c>
      <c r="G1386" s="25">
        <v>280779</v>
      </c>
    </row>
    <row r="1387" spans="2:7">
      <c r="B1387" s="24">
        <v>20</v>
      </c>
      <c r="C1387" s="24" t="s">
        <v>735</v>
      </c>
      <c r="D1387" s="109" t="s">
        <v>1135</v>
      </c>
      <c r="E1387" s="36" t="s">
        <v>1140</v>
      </c>
      <c r="F1387" s="61">
        <v>7.1190000000000015</v>
      </c>
      <c r="G1387" s="25">
        <v>223800</v>
      </c>
    </row>
    <row r="1388" spans="2:7">
      <c r="B1388" s="24">
        <v>20</v>
      </c>
      <c r="C1388" s="24" t="s">
        <v>735</v>
      </c>
      <c r="D1388" s="36" t="s">
        <v>233</v>
      </c>
      <c r="E1388" s="36" t="s">
        <v>1140</v>
      </c>
      <c r="F1388" s="61">
        <v>1.0150000000000001</v>
      </c>
      <c r="G1388" s="25">
        <v>228300</v>
      </c>
    </row>
    <row r="1389" spans="2:7">
      <c r="B1389" s="24">
        <v>20</v>
      </c>
      <c r="C1389" s="24" t="s">
        <v>735</v>
      </c>
      <c r="D1389" s="104" t="s">
        <v>930</v>
      </c>
      <c r="E1389" s="36" t="s">
        <v>1140</v>
      </c>
      <c r="F1389" s="107">
        <v>0.7</v>
      </c>
      <c r="G1389" s="110">
        <v>175052</v>
      </c>
    </row>
    <row r="1390" spans="2:7">
      <c r="B1390" s="24">
        <v>20</v>
      </c>
      <c r="C1390" s="24" t="s">
        <v>736</v>
      </c>
      <c r="D1390" s="109" t="s">
        <v>1135</v>
      </c>
      <c r="E1390" s="36" t="s">
        <v>1140</v>
      </c>
      <c r="F1390" s="61">
        <v>2.0040000000000031</v>
      </c>
      <c r="G1390" s="25">
        <v>219000</v>
      </c>
    </row>
    <row r="1391" spans="2:7">
      <c r="B1391" s="24">
        <v>20</v>
      </c>
      <c r="C1391" s="24" t="s">
        <v>736</v>
      </c>
      <c r="D1391" s="36" t="s">
        <v>233</v>
      </c>
      <c r="E1391" s="36" t="s">
        <v>1140</v>
      </c>
      <c r="F1391" s="61">
        <v>0</v>
      </c>
      <c r="G1391" s="25">
        <v>224000</v>
      </c>
    </row>
    <row r="1392" spans="2:7">
      <c r="B1392" s="24">
        <v>20</v>
      </c>
      <c r="C1392" s="24" t="s">
        <v>737</v>
      </c>
      <c r="D1392" s="109" t="s">
        <v>1135</v>
      </c>
      <c r="E1392" s="36" t="s">
        <v>1140</v>
      </c>
      <c r="F1392" s="61">
        <v>3.3900000000000015</v>
      </c>
      <c r="G1392" s="25">
        <v>249300</v>
      </c>
    </row>
    <row r="1393" spans="2:7">
      <c r="B1393" s="24">
        <v>20</v>
      </c>
      <c r="C1393" s="24" t="s">
        <v>737</v>
      </c>
      <c r="D1393" s="36" t="s">
        <v>233</v>
      </c>
      <c r="E1393" s="36" t="s">
        <v>1140</v>
      </c>
      <c r="F1393" s="61">
        <v>0</v>
      </c>
      <c r="G1393" s="25">
        <v>254200</v>
      </c>
    </row>
    <row r="1394" spans="2:7">
      <c r="B1394" s="24">
        <v>20</v>
      </c>
      <c r="C1394" s="24" t="s">
        <v>738</v>
      </c>
      <c r="D1394" s="109" t="s">
        <v>1135</v>
      </c>
      <c r="E1394" s="36" t="s">
        <v>1140</v>
      </c>
      <c r="F1394" s="61">
        <v>3.5080000000000111</v>
      </c>
      <c r="G1394" s="25">
        <v>223000</v>
      </c>
    </row>
    <row r="1395" spans="2:7">
      <c r="B1395" s="24">
        <v>20</v>
      </c>
      <c r="C1395" s="24" t="s">
        <v>738</v>
      </c>
      <c r="D1395" s="36" t="s">
        <v>233</v>
      </c>
      <c r="E1395" s="36" t="s">
        <v>1140</v>
      </c>
      <c r="F1395" s="61">
        <v>0.02</v>
      </c>
      <c r="G1395" s="25">
        <v>233000</v>
      </c>
    </row>
    <row r="1396" spans="2:7">
      <c r="B1396" s="24">
        <v>20</v>
      </c>
      <c r="C1396" s="24" t="s">
        <v>739</v>
      </c>
      <c r="D1396" s="109" t="s">
        <v>1135</v>
      </c>
      <c r="E1396" s="36" t="s">
        <v>1140</v>
      </c>
      <c r="F1396" s="61">
        <v>6.100000000000097E-2</v>
      </c>
      <c r="G1396" s="25">
        <v>228000</v>
      </c>
    </row>
    <row r="1397" spans="2:7">
      <c r="B1397" s="24">
        <v>20</v>
      </c>
      <c r="C1397" s="24" t="s">
        <v>739</v>
      </c>
      <c r="D1397" s="36" t="s">
        <v>233</v>
      </c>
      <c r="E1397" s="36" t="s">
        <v>1140</v>
      </c>
      <c r="F1397" s="61">
        <v>0</v>
      </c>
      <c r="G1397" s="25">
        <v>235400</v>
      </c>
    </row>
    <row r="1398" spans="2:7">
      <c r="B1398" s="24">
        <v>20</v>
      </c>
      <c r="C1398" s="24" t="s">
        <v>740</v>
      </c>
      <c r="D1398" s="109" t="s">
        <v>1135</v>
      </c>
      <c r="E1398" s="36" t="s">
        <v>1140</v>
      </c>
      <c r="F1398" s="61">
        <v>3.4070000000000098</v>
      </c>
      <c r="G1398" s="25">
        <v>210000</v>
      </c>
    </row>
    <row r="1399" spans="2:7">
      <c r="B1399" s="24">
        <v>20</v>
      </c>
      <c r="C1399" s="24" t="s">
        <v>740</v>
      </c>
      <c r="D1399" s="36" t="s">
        <v>233</v>
      </c>
      <c r="E1399" s="36" t="s">
        <v>1140</v>
      </c>
      <c r="F1399" s="61">
        <v>2.5000000000000001E-2</v>
      </c>
      <c r="G1399" s="25">
        <v>230000</v>
      </c>
    </row>
    <row r="1400" spans="2:7">
      <c r="B1400" s="24">
        <v>20</v>
      </c>
      <c r="C1400" s="24" t="s">
        <v>85</v>
      </c>
      <c r="D1400" s="109" t="s">
        <v>1135</v>
      </c>
      <c r="E1400" s="36" t="s">
        <v>1140</v>
      </c>
      <c r="F1400" s="61">
        <v>4.636999999999988</v>
      </c>
      <c r="G1400" s="25">
        <v>210000</v>
      </c>
    </row>
    <row r="1401" spans="2:7">
      <c r="B1401" s="24">
        <v>20</v>
      </c>
      <c r="C1401" s="24" t="s">
        <v>85</v>
      </c>
      <c r="D1401" s="36" t="s">
        <v>233</v>
      </c>
      <c r="E1401" s="36" t="s">
        <v>1140</v>
      </c>
      <c r="F1401" s="61">
        <v>0.14099999999999957</v>
      </c>
      <c r="G1401" s="25">
        <v>223000</v>
      </c>
    </row>
    <row r="1402" spans="2:7">
      <c r="B1402" s="24">
        <v>20</v>
      </c>
      <c r="C1402" s="24" t="s">
        <v>741</v>
      </c>
      <c r="D1402" s="109" t="s">
        <v>1135</v>
      </c>
      <c r="E1402" s="36" t="s">
        <v>1140</v>
      </c>
      <c r="F1402" s="61">
        <v>15.089000000000008</v>
      </c>
      <c r="G1402" s="25">
        <v>210000</v>
      </c>
    </row>
    <row r="1403" spans="2:7">
      <c r="B1403" s="24">
        <v>20</v>
      </c>
      <c r="C1403" s="24" t="s">
        <v>741</v>
      </c>
      <c r="D1403" s="36" t="s">
        <v>233</v>
      </c>
      <c r="E1403" s="36" t="s">
        <v>1140</v>
      </c>
      <c r="F1403" s="61">
        <v>0</v>
      </c>
      <c r="G1403" s="25">
        <v>220900</v>
      </c>
    </row>
    <row r="1404" spans="2:7">
      <c r="B1404" s="24">
        <v>20</v>
      </c>
      <c r="C1404" s="24" t="s">
        <v>1051</v>
      </c>
      <c r="D1404" s="109" t="s">
        <v>1135</v>
      </c>
      <c r="E1404" s="36" t="s">
        <v>1140</v>
      </c>
      <c r="F1404" s="61">
        <v>2.5130000000000003</v>
      </c>
      <c r="G1404" s="25">
        <v>232200</v>
      </c>
    </row>
    <row r="1405" spans="2:7">
      <c r="B1405" s="24">
        <v>20</v>
      </c>
      <c r="C1405" s="24" t="s">
        <v>1051</v>
      </c>
      <c r="D1405" s="36" t="s">
        <v>233</v>
      </c>
      <c r="E1405" s="36" t="s">
        <v>1140</v>
      </c>
      <c r="F1405" s="61">
        <v>0</v>
      </c>
      <c r="G1405" s="25">
        <v>239900</v>
      </c>
    </row>
    <row r="1406" spans="2:7">
      <c r="B1406" s="24">
        <v>20</v>
      </c>
      <c r="C1406" s="24" t="s">
        <v>1088</v>
      </c>
      <c r="D1406" s="109" t="s">
        <v>1135</v>
      </c>
      <c r="E1406" s="36" t="s">
        <v>1140</v>
      </c>
      <c r="F1406" s="61">
        <v>5.35</v>
      </c>
      <c r="G1406" s="25">
        <v>233018</v>
      </c>
    </row>
    <row r="1407" spans="2:7">
      <c r="B1407" s="24">
        <v>20</v>
      </c>
      <c r="C1407" s="24" t="s">
        <v>1088</v>
      </c>
      <c r="D1407" s="36" t="s">
        <v>233</v>
      </c>
      <c r="E1407" s="36" t="s">
        <v>1140</v>
      </c>
      <c r="F1407" s="61">
        <v>0</v>
      </c>
      <c r="G1407" s="25">
        <v>237679</v>
      </c>
    </row>
    <row r="1408" spans="2:7">
      <c r="B1408" s="24">
        <v>20</v>
      </c>
      <c r="C1408" s="24" t="s">
        <v>109</v>
      </c>
      <c r="D1408" s="109" t="s">
        <v>1135</v>
      </c>
      <c r="E1408" s="36" t="s">
        <v>1140</v>
      </c>
      <c r="F1408" s="61">
        <v>1.3869114190434573E-14</v>
      </c>
      <c r="G1408" s="25">
        <v>206400</v>
      </c>
    </row>
    <row r="1409" spans="2:7">
      <c r="B1409" s="24">
        <v>20</v>
      </c>
      <c r="C1409" s="24" t="s">
        <v>109</v>
      </c>
      <c r="D1409" s="36" t="s">
        <v>233</v>
      </c>
      <c r="E1409" s="36" t="s">
        <v>1140</v>
      </c>
      <c r="F1409" s="61">
        <v>5.5511151231257827E-16</v>
      </c>
      <c r="G1409" s="25">
        <v>249700</v>
      </c>
    </row>
    <row r="1410" spans="2:7">
      <c r="B1410" s="24" t="s">
        <v>234</v>
      </c>
      <c r="C1410" s="24" t="s">
        <v>109</v>
      </c>
      <c r="D1410" s="36" t="s">
        <v>233</v>
      </c>
      <c r="E1410" s="36" t="s">
        <v>1140</v>
      </c>
      <c r="F1410" s="61">
        <v>5.2450000000000028</v>
      </c>
      <c r="G1410" s="25">
        <v>298668</v>
      </c>
    </row>
    <row r="1411" spans="2:7">
      <c r="B1411" s="24">
        <v>20</v>
      </c>
      <c r="C1411" s="24" t="s">
        <v>21</v>
      </c>
      <c r="D1411" s="109" t="s">
        <v>1135</v>
      </c>
      <c r="E1411" s="36" t="s">
        <v>1140</v>
      </c>
      <c r="F1411" s="61">
        <v>31.740000000000013</v>
      </c>
      <c r="G1411" s="25">
        <v>197000</v>
      </c>
    </row>
    <row r="1412" spans="2:7">
      <c r="B1412" s="24">
        <v>20</v>
      </c>
      <c r="C1412" s="24" t="s">
        <v>21</v>
      </c>
      <c r="D1412" s="36" t="s">
        <v>233</v>
      </c>
      <c r="E1412" s="36" t="s">
        <v>1140</v>
      </c>
      <c r="F1412" s="61">
        <v>-2.9950000812739574E-15</v>
      </c>
      <c r="G1412" s="25">
        <v>243400</v>
      </c>
    </row>
    <row r="1413" spans="2:7">
      <c r="B1413" s="24">
        <v>20</v>
      </c>
      <c r="C1413" s="24" t="s">
        <v>21</v>
      </c>
      <c r="D1413" s="104" t="s">
        <v>930</v>
      </c>
      <c r="E1413" s="36" t="s">
        <v>1140</v>
      </c>
      <c r="F1413" s="107">
        <v>6.5000000000000002E-2</v>
      </c>
      <c r="G1413" s="110">
        <v>183003</v>
      </c>
    </row>
    <row r="1414" spans="2:7">
      <c r="B1414" s="24" t="s">
        <v>234</v>
      </c>
      <c r="C1414" s="24" t="s">
        <v>21</v>
      </c>
      <c r="D1414" s="36" t="s">
        <v>233</v>
      </c>
      <c r="E1414" s="36" t="s">
        <v>1140</v>
      </c>
      <c r="F1414" s="61">
        <v>8.4089999999999989</v>
      </c>
      <c r="G1414" s="25">
        <v>278357</v>
      </c>
    </row>
    <row r="1415" spans="2:7">
      <c r="B1415" s="24">
        <v>20</v>
      </c>
      <c r="C1415" s="24" t="s">
        <v>138</v>
      </c>
      <c r="D1415" s="109" t="s">
        <v>1135</v>
      </c>
      <c r="E1415" s="36" t="s">
        <v>1140</v>
      </c>
      <c r="F1415" s="61">
        <v>28.688499999999991</v>
      </c>
      <c r="G1415" s="25">
        <v>197500</v>
      </c>
    </row>
    <row r="1416" spans="2:7">
      <c r="B1416" s="24">
        <v>20</v>
      </c>
      <c r="C1416" s="24" t="s">
        <v>138</v>
      </c>
      <c r="D1416" s="36" t="s">
        <v>233</v>
      </c>
      <c r="E1416" s="36" t="s">
        <v>1140</v>
      </c>
      <c r="F1416" s="61">
        <v>1.5959455978986625E-16</v>
      </c>
      <c r="G1416" s="25">
        <v>231800</v>
      </c>
    </row>
    <row r="1417" spans="2:7">
      <c r="B1417" s="24" t="s">
        <v>234</v>
      </c>
      <c r="C1417" s="24" t="s">
        <v>138</v>
      </c>
      <c r="D1417" s="36" t="s">
        <v>233</v>
      </c>
      <c r="E1417" s="36" t="s">
        <v>1140</v>
      </c>
      <c r="F1417" s="61">
        <v>-2.4633073358870661E-15</v>
      </c>
      <c r="G1417" s="25">
        <v>270375</v>
      </c>
    </row>
    <row r="1418" spans="2:7">
      <c r="B1418" s="24">
        <v>20</v>
      </c>
      <c r="C1418" s="24" t="s">
        <v>22</v>
      </c>
      <c r="D1418" s="109" t="s">
        <v>1135</v>
      </c>
      <c r="E1418" s="36" t="s">
        <v>1140</v>
      </c>
      <c r="F1418" s="61">
        <v>55.292500000000061</v>
      </c>
      <c r="G1418" s="25">
        <v>184300</v>
      </c>
    </row>
    <row r="1419" spans="2:7">
      <c r="B1419" s="24">
        <v>20</v>
      </c>
      <c r="C1419" s="24" t="s">
        <v>22</v>
      </c>
      <c r="D1419" s="36" t="s">
        <v>233</v>
      </c>
      <c r="E1419" s="36" t="s">
        <v>1140</v>
      </c>
      <c r="F1419" s="61">
        <v>1.6514567491299204E-15</v>
      </c>
      <c r="G1419" s="25">
        <v>227700</v>
      </c>
    </row>
    <row r="1420" spans="2:7">
      <c r="B1420" s="24" t="s">
        <v>234</v>
      </c>
      <c r="C1420" s="24" t="s">
        <v>22</v>
      </c>
      <c r="D1420" s="36" t="s">
        <v>233</v>
      </c>
      <c r="E1420" s="36" t="s">
        <v>1140</v>
      </c>
      <c r="F1420" s="61">
        <v>9.0370000000000008</v>
      </c>
      <c r="G1420" s="25">
        <v>265551</v>
      </c>
    </row>
    <row r="1421" spans="2:7">
      <c r="B1421" s="24">
        <v>20</v>
      </c>
      <c r="C1421" s="24" t="s">
        <v>742</v>
      </c>
      <c r="D1421" s="109" t="s">
        <v>1135</v>
      </c>
      <c r="E1421" s="36" t="s">
        <v>1140</v>
      </c>
      <c r="F1421" s="61">
        <v>7.7770000000000037</v>
      </c>
      <c r="G1421" s="25">
        <v>220000</v>
      </c>
    </row>
    <row r="1422" spans="2:7">
      <c r="B1422" s="24">
        <v>20</v>
      </c>
      <c r="C1422" s="24" t="s">
        <v>742</v>
      </c>
      <c r="D1422" s="36" t="s">
        <v>233</v>
      </c>
      <c r="E1422" s="36" t="s">
        <v>1140</v>
      </c>
      <c r="F1422" s="61">
        <v>5.0000000000000001E-3</v>
      </c>
      <c r="G1422" s="25">
        <v>224500</v>
      </c>
    </row>
    <row r="1423" spans="2:7">
      <c r="B1423" s="24">
        <v>20</v>
      </c>
      <c r="C1423" s="24" t="s">
        <v>88</v>
      </c>
      <c r="D1423" s="109" t="s">
        <v>1135</v>
      </c>
      <c r="E1423" s="36" t="s">
        <v>1140</v>
      </c>
      <c r="F1423" s="61">
        <v>14.002999999999973</v>
      </c>
      <c r="G1423" s="25">
        <v>183000</v>
      </c>
    </row>
    <row r="1424" spans="2:7">
      <c r="B1424" s="24">
        <v>20</v>
      </c>
      <c r="C1424" s="24" t="s">
        <v>88</v>
      </c>
      <c r="D1424" s="36" t="s">
        <v>233</v>
      </c>
      <c r="E1424" s="36" t="s">
        <v>1140</v>
      </c>
      <c r="F1424" s="61">
        <v>0.22999999999999962</v>
      </c>
      <c r="G1424" s="25">
        <v>221900</v>
      </c>
    </row>
    <row r="1425" spans="2:7">
      <c r="B1425" s="24" t="s">
        <v>234</v>
      </c>
      <c r="C1425" s="24" t="s">
        <v>88</v>
      </c>
      <c r="D1425" s="36" t="s">
        <v>233</v>
      </c>
      <c r="E1425" s="36" t="s">
        <v>1140</v>
      </c>
      <c r="F1425" s="61">
        <v>4.5159999999999982</v>
      </c>
      <c r="G1425" s="25">
        <v>265349</v>
      </c>
    </row>
    <row r="1426" spans="2:7">
      <c r="B1426" s="24">
        <v>20</v>
      </c>
      <c r="C1426" s="24" t="s">
        <v>110</v>
      </c>
      <c r="D1426" s="109" t="s">
        <v>1135</v>
      </c>
      <c r="E1426" s="36" t="s">
        <v>1140</v>
      </c>
      <c r="F1426" s="61">
        <v>9.9979999999999851</v>
      </c>
      <c r="G1426" s="25">
        <v>213900</v>
      </c>
    </row>
    <row r="1427" spans="2:7">
      <c r="B1427" s="24">
        <v>20</v>
      </c>
      <c r="C1427" s="24" t="s">
        <v>110</v>
      </c>
      <c r="D1427" s="36" t="s">
        <v>233</v>
      </c>
      <c r="E1427" s="36" t="s">
        <v>1140</v>
      </c>
      <c r="F1427" s="61">
        <v>0.26600000000000013</v>
      </c>
      <c r="G1427" s="25">
        <v>218100</v>
      </c>
    </row>
    <row r="1428" spans="2:7" ht="26">
      <c r="B1428" s="24">
        <v>20</v>
      </c>
      <c r="C1428" s="24" t="s">
        <v>110</v>
      </c>
      <c r="D1428" s="37" t="s">
        <v>1027</v>
      </c>
      <c r="E1428" s="36" t="s">
        <v>1140</v>
      </c>
      <c r="F1428" s="107">
        <v>0.628</v>
      </c>
      <c r="G1428" s="56">
        <v>148691</v>
      </c>
    </row>
    <row r="1429" spans="2:7">
      <c r="B1429" s="24" t="s">
        <v>234</v>
      </c>
      <c r="C1429" s="24" t="s">
        <v>110</v>
      </c>
      <c r="D1429" s="36" t="s">
        <v>233</v>
      </c>
      <c r="E1429" s="36" t="s">
        <v>1140</v>
      </c>
      <c r="F1429" s="61">
        <v>2.3750000000000013</v>
      </c>
      <c r="G1429" s="25">
        <v>260853</v>
      </c>
    </row>
    <row r="1430" spans="2:7">
      <c r="B1430" s="24">
        <v>20</v>
      </c>
      <c r="C1430" s="24" t="s">
        <v>1089</v>
      </c>
      <c r="D1430" s="109" t="s">
        <v>1135</v>
      </c>
      <c r="E1430" s="36" t="s">
        <v>1140</v>
      </c>
      <c r="F1430" s="61">
        <v>-6.83481049534862E-16</v>
      </c>
      <c r="G1430" s="25">
        <v>232332</v>
      </c>
    </row>
    <row r="1431" spans="2:7">
      <c r="B1431" s="24">
        <v>20</v>
      </c>
      <c r="C1431" s="24" t="s">
        <v>1089</v>
      </c>
      <c r="D1431" s="36" t="s">
        <v>233</v>
      </c>
      <c r="E1431" s="36" t="s">
        <v>1140</v>
      </c>
      <c r="F1431" s="61">
        <v>0</v>
      </c>
      <c r="G1431" s="25">
        <v>236979</v>
      </c>
    </row>
    <row r="1432" spans="2:7">
      <c r="B1432" s="24">
        <v>20</v>
      </c>
      <c r="C1432" s="24" t="s">
        <v>743</v>
      </c>
      <c r="D1432" s="109" t="s">
        <v>1135</v>
      </c>
      <c r="E1432" s="36" t="s">
        <v>1140</v>
      </c>
      <c r="F1432" s="61">
        <v>6.3530000000000024</v>
      </c>
      <c r="G1432" s="25">
        <v>230300</v>
      </c>
    </row>
    <row r="1433" spans="2:7">
      <c r="B1433" s="24">
        <v>20</v>
      </c>
      <c r="C1433" s="24" t="s">
        <v>743</v>
      </c>
      <c r="D1433" s="36" t="s">
        <v>233</v>
      </c>
      <c r="E1433" s="36" t="s">
        <v>1140</v>
      </c>
      <c r="F1433" s="61">
        <v>0</v>
      </c>
      <c r="G1433" s="25">
        <v>234900</v>
      </c>
    </row>
    <row r="1434" spans="2:7">
      <c r="B1434" s="24">
        <v>20</v>
      </c>
      <c r="C1434" s="24" t="s">
        <v>744</v>
      </c>
      <c r="D1434" s="109" t="s">
        <v>1135</v>
      </c>
      <c r="E1434" s="36" t="s">
        <v>1140</v>
      </c>
      <c r="F1434" s="61">
        <v>2.0279999999999991</v>
      </c>
      <c r="G1434" s="25">
        <v>240100</v>
      </c>
    </row>
    <row r="1435" spans="2:7">
      <c r="B1435" s="24">
        <v>20</v>
      </c>
      <c r="C1435" s="24" t="s">
        <v>744</v>
      </c>
      <c r="D1435" s="36" t="s">
        <v>233</v>
      </c>
      <c r="E1435" s="36" t="s">
        <v>1140</v>
      </c>
      <c r="F1435" s="61">
        <v>1.4999999999999999E-2</v>
      </c>
      <c r="G1435" s="25">
        <v>244900</v>
      </c>
    </row>
    <row r="1436" spans="2:7">
      <c r="B1436" s="28">
        <v>10</v>
      </c>
      <c r="C1436" s="24" t="s">
        <v>745</v>
      </c>
      <c r="D1436" s="36" t="s">
        <v>233</v>
      </c>
      <c r="E1436" s="36" t="s">
        <v>1140</v>
      </c>
      <c r="F1436" s="61">
        <v>0.87</v>
      </c>
      <c r="G1436" s="25">
        <v>234300</v>
      </c>
    </row>
    <row r="1437" spans="2:7">
      <c r="B1437" s="24">
        <v>20</v>
      </c>
      <c r="C1437" s="24" t="s">
        <v>745</v>
      </c>
      <c r="D1437" s="109" t="s">
        <v>1135</v>
      </c>
      <c r="E1437" s="36" t="s">
        <v>1140</v>
      </c>
      <c r="F1437" s="61">
        <v>11.713000000000005</v>
      </c>
      <c r="G1437" s="25">
        <v>229700</v>
      </c>
    </row>
    <row r="1438" spans="2:7">
      <c r="B1438" s="24">
        <v>20</v>
      </c>
      <c r="C1438" s="24" t="s">
        <v>745</v>
      </c>
      <c r="D1438" s="36" t="s">
        <v>233</v>
      </c>
      <c r="E1438" s="36" t="s">
        <v>1140</v>
      </c>
      <c r="F1438" s="61">
        <v>0.15300000000000072</v>
      </c>
      <c r="G1438" s="25">
        <v>234300</v>
      </c>
    </row>
    <row r="1439" spans="2:7">
      <c r="B1439" s="24" t="s">
        <v>234</v>
      </c>
      <c r="C1439" s="24" t="s">
        <v>745</v>
      </c>
      <c r="D1439" s="36" t="s">
        <v>233</v>
      </c>
      <c r="E1439" s="36" t="s">
        <v>1140</v>
      </c>
      <c r="F1439" s="61">
        <v>1.361</v>
      </c>
      <c r="G1439" s="25">
        <v>280226</v>
      </c>
    </row>
    <row r="1440" spans="2:7">
      <c r="B1440" s="24">
        <v>20</v>
      </c>
      <c r="C1440" s="24" t="s">
        <v>746</v>
      </c>
      <c r="D1440" s="109" t="s">
        <v>1135</v>
      </c>
      <c r="E1440" s="36" t="s">
        <v>1140</v>
      </c>
      <c r="F1440" s="61">
        <v>2.9143354396410359E-15</v>
      </c>
      <c r="G1440" s="25">
        <v>223300</v>
      </c>
    </row>
    <row r="1441" spans="2:7">
      <c r="B1441" s="24">
        <v>20</v>
      </c>
      <c r="C1441" s="24" t="s">
        <v>746</v>
      </c>
      <c r="D1441" s="36" t="s">
        <v>233</v>
      </c>
      <c r="E1441" s="36" t="s">
        <v>1140</v>
      </c>
      <c r="F1441" s="61">
        <v>-2.1510571102112408E-16</v>
      </c>
      <c r="G1441" s="25">
        <v>227800</v>
      </c>
    </row>
    <row r="1442" spans="2:7">
      <c r="B1442" s="24">
        <v>20</v>
      </c>
      <c r="C1442" s="24" t="s">
        <v>747</v>
      </c>
      <c r="D1442" s="109" t="s">
        <v>1135</v>
      </c>
      <c r="E1442" s="36" t="s">
        <v>1140</v>
      </c>
      <c r="F1442" s="61">
        <v>2.1570000000000076</v>
      </c>
      <c r="G1442" s="25">
        <v>219500</v>
      </c>
    </row>
    <row r="1443" spans="2:7">
      <c r="B1443" s="24">
        <v>20</v>
      </c>
      <c r="C1443" s="24" t="s">
        <v>747</v>
      </c>
      <c r="D1443" s="36" t="s">
        <v>233</v>
      </c>
      <c r="E1443" s="36" t="s">
        <v>1140</v>
      </c>
      <c r="F1443" s="61">
        <v>1.0000000000000722E-2</v>
      </c>
      <c r="G1443" s="25">
        <v>223900</v>
      </c>
    </row>
    <row r="1444" spans="2:7">
      <c r="B1444" s="24" t="s">
        <v>234</v>
      </c>
      <c r="C1444" s="24" t="s">
        <v>747</v>
      </c>
      <c r="D1444" s="36" t="s">
        <v>233</v>
      </c>
      <c r="E1444" s="36" t="s">
        <v>1140</v>
      </c>
      <c r="F1444" s="61">
        <v>7.1989999999999936</v>
      </c>
      <c r="G1444" s="25">
        <v>267766</v>
      </c>
    </row>
    <row r="1445" spans="2:7">
      <c r="B1445" s="24">
        <v>20</v>
      </c>
      <c r="C1445" s="24" t="s">
        <v>748</v>
      </c>
      <c r="D1445" s="109" t="s">
        <v>1135</v>
      </c>
      <c r="E1445" s="36" t="s">
        <v>1140</v>
      </c>
      <c r="F1445" s="61">
        <v>5.500000000001215E-2</v>
      </c>
      <c r="G1445" s="25">
        <v>214200</v>
      </c>
    </row>
    <row r="1446" spans="2:7">
      <c r="B1446" s="24">
        <v>20</v>
      </c>
      <c r="C1446" s="24" t="s">
        <v>748</v>
      </c>
      <c r="D1446" s="36" t="s">
        <v>233</v>
      </c>
      <c r="E1446" s="36" t="s">
        <v>1140</v>
      </c>
      <c r="F1446" s="61">
        <v>6.3000000000000111E-2</v>
      </c>
      <c r="G1446" s="25">
        <v>218500</v>
      </c>
    </row>
    <row r="1447" spans="2:7">
      <c r="B1447" s="24">
        <v>20</v>
      </c>
      <c r="C1447" s="24" t="s">
        <v>749</v>
      </c>
      <c r="D1447" s="109" t="s">
        <v>1135</v>
      </c>
      <c r="E1447" s="36" t="s">
        <v>1140</v>
      </c>
      <c r="F1447" s="61">
        <v>9.779999999999994</v>
      </c>
      <c r="G1447" s="25">
        <v>210700</v>
      </c>
    </row>
    <row r="1448" spans="2:7">
      <c r="B1448" s="24">
        <v>20</v>
      </c>
      <c r="C1448" s="24" t="s">
        <v>749</v>
      </c>
      <c r="D1448" s="36" t="s">
        <v>233</v>
      </c>
      <c r="E1448" s="36" t="s">
        <v>1140</v>
      </c>
      <c r="F1448" s="61">
        <v>0.71999999999999964</v>
      </c>
      <c r="G1448" s="25">
        <v>215000</v>
      </c>
    </row>
    <row r="1449" spans="2:7">
      <c r="B1449" s="24">
        <v>20</v>
      </c>
      <c r="C1449" s="24" t="s">
        <v>750</v>
      </c>
      <c r="D1449" s="109" t="s">
        <v>1135</v>
      </c>
      <c r="E1449" s="36" t="s">
        <v>1140</v>
      </c>
      <c r="F1449" s="61">
        <v>9.3649999999999967</v>
      </c>
      <c r="G1449" s="25">
        <v>229100</v>
      </c>
    </row>
    <row r="1450" spans="2:7">
      <c r="B1450" s="24">
        <v>20</v>
      </c>
      <c r="C1450" s="24" t="s">
        <v>750</v>
      </c>
      <c r="D1450" s="36" t="s">
        <v>233</v>
      </c>
      <c r="E1450" s="36" t="s">
        <v>1140</v>
      </c>
      <c r="F1450" s="61">
        <v>0.11600000000000001</v>
      </c>
      <c r="G1450" s="25">
        <v>233700</v>
      </c>
    </row>
    <row r="1451" spans="2:7">
      <c r="B1451" s="24">
        <v>20</v>
      </c>
      <c r="C1451" s="24" t="s">
        <v>1052</v>
      </c>
      <c r="D1451" s="109" t="s">
        <v>1135</v>
      </c>
      <c r="E1451" s="36" t="s">
        <v>1140</v>
      </c>
      <c r="F1451" s="61">
        <v>-7.8929918156944723E-16</v>
      </c>
      <c r="G1451" s="25">
        <v>227100</v>
      </c>
    </row>
    <row r="1452" spans="2:7">
      <c r="B1452" s="24">
        <v>20</v>
      </c>
      <c r="C1452" s="24" t="s">
        <v>1052</v>
      </c>
      <c r="D1452" s="36" t="s">
        <v>233</v>
      </c>
      <c r="E1452" s="36" t="s">
        <v>1140</v>
      </c>
      <c r="F1452" s="61">
        <v>0</v>
      </c>
      <c r="G1452" s="25">
        <v>231600</v>
      </c>
    </row>
    <row r="1453" spans="2:7">
      <c r="B1453" s="24">
        <v>20</v>
      </c>
      <c r="C1453" s="24" t="s">
        <v>751</v>
      </c>
      <c r="D1453" s="109" t="s">
        <v>1135</v>
      </c>
      <c r="E1453" s="36" t="s">
        <v>1140</v>
      </c>
      <c r="F1453" s="61">
        <v>1.1260000000000014</v>
      </c>
      <c r="G1453" s="25">
        <v>227700</v>
      </c>
    </row>
    <row r="1454" spans="2:7">
      <c r="B1454" s="24">
        <v>20</v>
      </c>
      <c r="C1454" s="24" t="s">
        <v>751</v>
      </c>
      <c r="D1454" s="36" t="s">
        <v>233</v>
      </c>
      <c r="E1454" s="36" t="s">
        <v>1140</v>
      </c>
      <c r="F1454" s="61">
        <v>0</v>
      </c>
      <c r="G1454" s="25">
        <v>232300</v>
      </c>
    </row>
    <row r="1455" spans="2:7">
      <c r="B1455" s="24">
        <v>20</v>
      </c>
      <c r="C1455" s="24" t="s">
        <v>752</v>
      </c>
      <c r="D1455" s="109" t="s">
        <v>1135</v>
      </c>
      <c r="E1455" s="36" t="s">
        <v>1140</v>
      </c>
      <c r="F1455" s="61">
        <v>16.289000000000005</v>
      </c>
      <c r="G1455" s="25">
        <v>197000</v>
      </c>
    </row>
    <row r="1456" spans="2:7">
      <c r="B1456" s="24">
        <v>20</v>
      </c>
      <c r="C1456" s="24" t="s">
        <v>752</v>
      </c>
      <c r="D1456" s="36" t="s">
        <v>233</v>
      </c>
      <c r="E1456" s="36" t="s">
        <v>1140</v>
      </c>
      <c r="F1456" s="61">
        <v>3.6999999999999998E-2</v>
      </c>
      <c r="G1456" s="25">
        <v>222200</v>
      </c>
    </row>
    <row r="1457" spans="2:7">
      <c r="B1457" s="24">
        <v>20</v>
      </c>
      <c r="C1457" s="24" t="s">
        <v>940</v>
      </c>
      <c r="D1457" s="109" t="s">
        <v>1135</v>
      </c>
      <c r="E1457" s="36" t="s">
        <v>1140</v>
      </c>
      <c r="F1457" s="61">
        <v>5.4269999999999987</v>
      </c>
      <c r="G1457" s="25">
        <v>212600</v>
      </c>
    </row>
    <row r="1458" spans="2:7">
      <c r="B1458" s="24">
        <v>20</v>
      </c>
      <c r="C1458" s="24" t="s">
        <v>940</v>
      </c>
      <c r="D1458" s="36" t="s">
        <v>233</v>
      </c>
      <c r="E1458" s="36" t="s">
        <v>1140</v>
      </c>
      <c r="F1458" s="61">
        <v>0</v>
      </c>
      <c r="G1458" s="25">
        <v>216900</v>
      </c>
    </row>
    <row r="1459" spans="2:7">
      <c r="B1459" s="24">
        <v>20</v>
      </c>
      <c r="C1459" s="24" t="s">
        <v>753</v>
      </c>
      <c r="D1459" s="109" t="s">
        <v>1135</v>
      </c>
      <c r="E1459" s="36" t="s">
        <v>1140</v>
      </c>
      <c r="F1459" s="61">
        <v>0.50000000000000311</v>
      </c>
      <c r="G1459" s="25">
        <v>209200</v>
      </c>
    </row>
    <row r="1460" spans="2:7">
      <c r="B1460" s="24">
        <v>20</v>
      </c>
      <c r="C1460" s="24" t="s">
        <v>753</v>
      </c>
      <c r="D1460" s="36" t="s">
        <v>233</v>
      </c>
      <c r="E1460" s="36" t="s">
        <v>1140</v>
      </c>
      <c r="F1460" s="61">
        <v>0</v>
      </c>
      <c r="G1460" s="25">
        <v>213400</v>
      </c>
    </row>
    <row r="1461" spans="2:7">
      <c r="B1461" s="24">
        <v>20</v>
      </c>
      <c r="C1461" s="24" t="s">
        <v>1053</v>
      </c>
      <c r="D1461" s="109" t="s">
        <v>1135</v>
      </c>
      <c r="E1461" s="36" t="s">
        <v>1140</v>
      </c>
      <c r="F1461" s="61">
        <v>2.8360000000000007</v>
      </c>
      <c r="G1461" s="25">
        <v>209200</v>
      </c>
    </row>
    <row r="1462" spans="2:7">
      <c r="B1462" s="24">
        <v>20</v>
      </c>
      <c r="C1462" s="24" t="s">
        <v>1053</v>
      </c>
      <c r="D1462" s="36" t="s">
        <v>233</v>
      </c>
      <c r="E1462" s="36" t="s">
        <v>1140</v>
      </c>
      <c r="F1462" s="61">
        <v>0</v>
      </c>
      <c r="G1462" s="25">
        <v>230100</v>
      </c>
    </row>
    <row r="1463" spans="2:7">
      <c r="B1463" s="24">
        <v>20</v>
      </c>
      <c r="C1463" s="24" t="s">
        <v>139</v>
      </c>
      <c r="D1463" s="109" t="s">
        <v>1135</v>
      </c>
      <c r="E1463" s="36" t="s">
        <v>1140</v>
      </c>
      <c r="F1463" s="61">
        <v>4.3550000000000013</v>
      </c>
      <c r="G1463" s="25">
        <v>225800</v>
      </c>
    </row>
    <row r="1464" spans="2:7">
      <c r="B1464" s="24">
        <v>20</v>
      </c>
      <c r="C1464" s="24" t="s">
        <v>139</v>
      </c>
      <c r="D1464" s="36" t="s">
        <v>233</v>
      </c>
      <c r="E1464" s="36" t="s">
        <v>1140</v>
      </c>
      <c r="F1464" s="61">
        <v>0</v>
      </c>
      <c r="G1464" s="25">
        <v>230400</v>
      </c>
    </row>
    <row r="1465" spans="2:7">
      <c r="B1465" s="24">
        <v>20</v>
      </c>
      <c r="C1465" s="24" t="s">
        <v>754</v>
      </c>
      <c r="D1465" s="109" t="s">
        <v>1135</v>
      </c>
      <c r="E1465" s="36" t="s">
        <v>1140</v>
      </c>
      <c r="F1465" s="61">
        <v>6.2930000000000019</v>
      </c>
      <c r="G1465" s="25">
        <v>216100</v>
      </c>
    </row>
    <row r="1466" spans="2:7">
      <c r="B1466" s="24">
        <v>20</v>
      </c>
      <c r="C1466" s="24" t="s">
        <v>754</v>
      </c>
      <c r="D1466" s="36" t="s">
        <v>233</v>
      </c>
      <c r="E1466" s="36" t="s">
        <v>1140</v>
      </c>
      <c r="F1466" s="61">
        <v>2.1060000000000003</v>
      </c>
      <c r="G1466" s="25">
        <v>220500</v>
      </c>
    </row>
    <row r="1467" spans="2:7">
      <c r="B1467" s="24">
        <v>20</v>
      </c>
      <c r="C1467" s="24" t="s">
        <v>755</v>
      </c>
      <c r="D1467" s="109" t="s">
        <v>1135</v>
      </c>
      <c r="E1467" s="36" t="s">
        <v>1140</v>
      </c>
      <c r="F1467" s="61">
        <v>6.4939999999999998</v>
      </c>
      <c r="G1467" s="25">
        <v>211100</v>
      </c>
    </row>
    <row r="1468" spans="2:7">
      <c r="B1468" s="24">
        <v>20</v>
      </c>
      <c r="C1468" s="24" t="s">
        <v>755</v>
      </c>
      <c r="D1468" s="36" t="s">
        <v>233</v>
      </c>
      <c r="E1468" s="36" t="s">
        <v>1140</v>
      </c>
      <c r="F1468" s="61">
        <v>3.2000000000000021E-2</v>
      </c>
      <c r="G1468" s="25">
        <v>215300</v>
      </c>
    </row>
    <row r="1469" spans="2:7">
      <c r="B1469" s="28">
        <v>45</v>
      </c>
      <c r="C1469" s="24" t="s">
        <v>755</v>
      </c>
      <c r="D1469" s="36" t="s">
        <v>233</v>
      </c>
      <c r="E1469" s="36" t="s">
        <v>1140</v>
      </c>
      <c r="F1469" s="61">
        <v>2.419</v>
      </c>
      <c r="G1469" s="25">
        <v>211100</v>
      </c>
    </row>
    <row r="1470" spans="2:7">
      <c r="B1470" s="24">
        <v>20</v>
      </c>
      <c r="C1470" s="24" t="s">
        <v>756</v>
      </c>
      <c r="D1470" s="109" t="s">
        <v>1135</v>
      </c>
      <c r="E1470" s="36" t="s">
        <v>1140</v>
      </c>
      <c r="F1470" s="61">
        <v>9.2660000000000284</v>
      </c>
      <c r="G1470" s="25">
        <v>207800</v>
      </c>
    </row>
    <row r="1471" spans="2:7">
      <c r="B1471" s="24">
        <v>20</v>
      </c>
      <c r="C1471" s="24" t="s">
        <v>756</v>
      </c>
      <c r="D1471" s="36" t="s">
        <v>233</v>
      </c>
      <c r="E1471" s="36" t="s">
        <v>1140</v>
      </c>
      <c r="F1471" s="61">
        <v>1.4209999999999998</v>
      </c>
      <c r="G1471" s="25">
        <v>212000</v>
      </c>
    </row>
    <row r="1472" spans="2:7">
      <c r="B1472" s="28">
        <v>35</v>
      </c>
      <c r="C1472" s="24" t="s">
        <v>1114</v>
      </c>
      <c r="D1472" s="36" t="s">
        <v>233</v>
      </c>
      <c r="E1472" s="36" t="s">
        <v>1140</v>
      </c>
      <c r="F1472" s="61">
        <v>0.214</v>
      </c>
      <c r="G1472" s="25" t="s">
        <v>1115</v>
      </c>
    </row>
    <row r="1473" spans="2:7">
      <c r="B1473" s="24">
        <v>20</v>
      </c>
      <c r="C1473" s="24" t="s">
        <v>757</v>
      </c>
      <c r="D1473" s="109" t="s">
        <v>1135</v>
      </c>
      <c r="E1473" s="36" t="s">
        <v>1140</v>
      </c>
      <c r="F1473" s="61">
        <v>5.4820000000000011</v>
      </c>
      <c r="G1473" s="25">
        <v>224100</v>
      </c>
    </row>
    <row r="1474" spans="2:7">
      <c r="B1474" s="24">
        <v>20</v>
      </c>
      <c r="C1474" s="24" t="s">
        <v>757</v>
      </c>
      <c r="D1474" s="36" t="s">
        <v>233</v>
      </c>
      <c r="E1474" s="36" t="s">
        <v>1140</v>
      </c>
      <c r="F1474" s="61">
        <v>0</v>
      </c>
      <c r="G1474" s="25">
        <v>228600</v>
      </c>
    </row>
    <row r="1475" spans="2:7">
      <c r="B1475" s="24">
        <v>20</v>
      </c>
      <c r="C1475" s="24" t="s">
        <v>140</v>
      </c>
      <c r="D1475" s="109" t="s">
        <v>1135</v>
      </c>
      <c r="E1475" s="36" t="s">
        <v>1140</v>
      </c>
      <c r="F1475" s="61">
        <v>5.213000000000001</v>
      </c>
      <c r="G1475" s="25">
        <v>219000</v>
      </c>
    </row>
    <row r="1476" spans="2:7">
      <c r="B1476" s="24">
        <v>20</v>
      </c>
      <c r="C1476" s="24" t="s">
        <v>140</v>
      </c>
      <c r="D1476" s="36" t="s">
        <v>233</v>
      </c>
      <c r="E1476" s="36" t="s">
        <v>1140</v>
      </c>
      <c r="F1476" s="61">
        <v>0</v>
      </c>
      <c r="G1476" s="25">
        <v>223200</v>
      </c>
    </row>
    <row r="1477" spans="2:7">
      <c r="B1477" s="24">
        <v>20</v>
      </c>
      <c r="C1477" s="24" t="s">
        <v>23</v>
      </c>
      <c r="D1477" s="109" t="s">
        <v>1135</v>
      </c>
      <c r="E1477" s="36" t="s">
        <v>1140</v>
      </c>
      <c r="F1477" s="61">
        <v>2.3019999999999903</v>
      </c>
      <c r="G1477" s="25">
        <v>184000</v>
      </c>
    </row>
    <row r="1478" spans="2:7">
      <c r="B1478" s="24">
        <v>20</v>
      </c>
      <c r="C1478" s="24" t="s">
        <v>23</v>
      </c>
      <c r="D1478" s="36" t="s">
        <v>233</v>
      </c>
      <c r="E1478" s="36" t="s">
        <v>1140</v>
      </c>
      <c r="F1478" s="61">
        <v>-2.2863655413374318E-15</v>
      </c>
      <c r="G1478" s="25">
        <v>209800</v>
      </c>
    </row>
    <row r="1479" spans="2:7">
      <c r="B1479" s="24" t="s">
        <v>234</v>
      </c>
      <c r="C1479" s="24" t="s">
        <v>23</v>
      </c>
      <c r="D1479" s="36" t="s">
        <v>233</v>
      </c>
      <c r="E1479" s="36" t="s">
        <v>1140</v>
      </c>
      <c r="F1479" s="61">
        <v>8.1069999999999922</v>
      </c>
      <c r="G1479" s="25">
        <v>249643</v>
      </c>
    </row>
    <row r="1480" spans="2:7">
      <c r="B1480" s="24">
        <v>20</v>
      </c>
      <c r="C1480" s="24" t="s">
        <v>150</v>
      </c>
      <c r="D1480" s="109" t="s">
        <v>1135</v>
      </c>
      <c r="E1480" s="36" t="s">
        <v>1140</v>
      </c>
      <c r="F1480" s="61">
        <v>2.1029999999999944</v>
      </c>
      <c r="G1480" s="25">
        <v>182000</v>
      </c>
    </row>
    <row r="1481" spans="2:7">
      <c r="B1481" s="24">
        <v>20</v>
      </c>
      <c r="C1481" s="24" t="s">
        <v>150</v>
      </c>
      <c r="D1481" s="36" t="s">
        <v>233</v>
      </c>
      <c r="E1481" s="36" t="s">
        <v>1140</v>
      </c>
      <c r="F1481" s="61">
        <v>2.7450000000000019</v>
      </c>
      <c r="G1481" s="25">
        <v>212200</v>
      </c>
    </row>
    <row r="1482" spans="2:7">
      <c r="B1482" s="24" t="s">
        <v>234</v>
      </c>
      <c r="C1482" s="24" t="s">
        <v>150</v>
      </c>
      <c r="D1482" s="36" t="s">
        <v>233</v>
      </c>
      <c r="E1482" s="36" t="s">
        <v>1140</v>
      </c>
      <c r="F1482" s="61">
        <v>6.143000000000006</v>
      </c>
      <c r="G1482" s="25">
        <v>233000</v>
      </c>
    </row>
    <row r="1483" spans="2:7">
      <c r="B1483" s="28">
        <v>10</v>
      </c>
      <c r="C1483" s="24" t="s">
        <v>236</v>
      </c>
      <c r="D1483" s="36" t="s">
        <v>233</v>
      </c>
      <c r="E1483" s="36" t="s">
        <v>1140</v>
      </c>
      <c r="F1483" s="61">
        <v>0.67500000000000004</v>
      </c>
      <c r="G1483" s="25">
        <v>210700</v>
      </c>
    </row>
    <row r="1484" spans="2:7">
      <c r="B1484" s="24">
        <v>20</v>
      </c>
      <c r="C1484" s="24" t="s">
        <v>236</v>
      </c>
      <c r="D1484" s="109" t="s">
        <v>1135</v>
      </c>
      <c r="E1484" s="36" t="s">
        <v>1140</v>
      </c>
      <c r="F1484" s="61">
        <v>34.370000000000026</v>
      </c>
      <c r="G1484" s="25">
        <v>180000</v>
      </c>
    </row>
    <row r="1485" spans="2:7">
      <c r="B1485" s="24">
        <v>20</v>
      </c>
      <c r="C1485" s="24" t="s">
        <v>236</v>
      </c>
      <c r="D1485" s="36" t="s">
        <v>233</v>
      </c>
      <c r="E1485" s="36" t="s">
        <v>1140</v>
      </c>
      <c r="F1485" s="61">
        <v>9.7620000000000129</v>
      </c>
      <c r="G1485" s="25">
        <v>210700</v>
      </c>
    </row>
    <row r="1486" spans="2:7">
      <c r="B1486" s="24" t="s">
        <v>234</v>
      </c>
      <c r="C1486" s="24" t="s">
        <v>236</v>
      </c>
      <c r="D1486" s="36" t="s">
        <v>233</v>
      </c>
      <c r="E1486" s="36" t="s">
        <v>1140</v>
      </c>
      <c r="F1486" s="61">
        <v>2.3939999999999961</v>
      </c>
      <c r="G1486" s="25">
        <v>252012</v>
      </c>
    </row>
    <row r="1487" spans="2:7">
      <c r="B1487" s="28">
        <v>10</v>
      </c>
      <c r="C1487" s="24" t="s">
        <v>141</v>
      </c>
      <c r="D1487" s="36" t="s">
        <v>233</v>
      </c>
      <c r="E1487" s="36" t="s">
        <v>1140</v>
      </c>
      <c r="F1487" s="61">
        <v>0.94399999999999995</v>
      </c>
      <c r="G1487" s="25">
        <v>209700</v>
      </c>
    </row>
    <row r="1488" spans="2:7">
      <c r="B1488" s="24">
        <v>20</v>
      </c>
      <c r="C1488" s="24" t="s">
        <v>141</v>
      </c>
      <c r="D1488" s="109" t="s">
        <v>1135</v>
      </c>
      <c r="E1488" s="36" t="s">
        <v>1140</v>
      </c>
      <c r="F1488" s="61">
        <v>5.1790000000000234</v>
      </c>
      <c r="G1488" s="25">
        <v>205600</v>
      </c>
    </row>
    <row r="1489" spans="2:7">
      <c r="B1489" s="24">
        <v>20</v>
      </c>
      <c r="C1489" s="24" t="s">
        <v>141</v>
      </c>
      <c r="D1489" s="36" t="s">
        <v>233</v>
      </c>
      <c r="E1489" s="36" t="s">
        <v>1140</v>
      </c>
      <c r="F1489" s="61">
        <v>1.464</v>
      </c>
      <c r="G1489" s="25">
        <v>209700</v>
      </c>
    </row>
    <row r="1490" spans="2:7">
      <c r="B1490" s="28">
        <v>10</v>
      </c>
      <c r="C1490" s="24" t="s">
        <v>24</v>
      </c>
      <c r="D1490" s="36" t="s">
        <v>233</v>
      </c>
      <c r="E1490" s="36" t="s">
        <v>1140</v>
      </c>
      <c r="F1490" s="61">
        <v>2.4500000000000002</v>
      </c>
      <c r="G1490" s="25">
        <v>210100</v>
      </c>
    </row>
    <row r="1491" spans="2:7">
      <c r="B1491" s="24">
        <v>20</v>
      </c>
      <c r="C1491" s="24" t="s">
        <v>24</v>
      </c>
      <c r="D1491" s="109" t="s">
        <v>1135</v>
      </c>
      <c r="E1491" s="36" t="s">
        <v>1140</v>
      </c>
      <c r="F1491" s="61">
        <v>6.3320000000000185</v>
      </c>
      <c r="G1491" s="25">
        <v>176000</v>
      </c>
    </row>
    <row r="1492" spans="2:7">
      <c r="B1492" s="24">
        <v>20</v>
      </c>
      <c r="C1492" s="24" t="s">
        <v>24</v>
      </c>
      <c r="D1492" s="36" t="s">
        <v>233</v>
      </c>
      <c r="E1492" s="36" t="s">
        <v>1140</v>
      </c>
      <c r="F1492" s="61">
        <v>0</v>
      </c>
      <c r="G1492" s="25">
        <v>210100</v>
      </c>
    </row>
    <row r="1493" spans="2:7">
      <c r="B1493" s="28">
        <v>10</v>
      </c>
      <c r="C1493" s="24" t="s">
        <v>758</v>
      </c>
      <c r="D1493" s="36" t="s">
        <v>233</v>
      </c>
      <c r="E1493" s="36" t="s">
        <v>1140</v>
      </c>
      <c r="F1493" s="61">
        <v>0.42899999999999999</v>
      </c>
      <c r="G1493" s="25">
        <v>215000</v>
      </c>
    </row>
    <row r="1494" spans="2:7">
      <c r="B1494" s="24">
        <v>20</v>
      </c>
      <c r="C1494" s="24" t="s">
        <v>758</v>
      </c>
      <c r="D1494" s="109" t="s">
        <v>1135</v>
      </c>
      <c r="E1494" s="36" t="s">
        <v>1140</v>
      </c>
      <c r="F1494" s="61">
        <v>5.4440000000000017</v>
      </c>
      <c r="G1494" s="25">
        <v>210700</v>
      </c>
    </row>
    <row r="1495" spans="2:7">
      <c r="B1495" s="24">
        <v>20</v>
      </c>
      <c r="C1495" s="24" t="s">
        <v>758</v>
      </c>
      <c r="D1495" s="36" t="s">
        <v>233</v>
      </c>
      <c r="E1495" s="36" t="s">
        <v>1140</v>
      </c>
      <c r="F1495" s="61">
        <v>0</v>
      </c>
      <c r="G1495" s="25">
        <v>215000</v>
      </c>
    </row>
    <row r="1496" spans="2:7">
      <c r="B1496" s="24">
        <v>20</v>
      </c>
      <c r="C1496" s="24" t="s">
        <v>759</v>
      </c>
      <c r="D1496" s="109" t="s">
        <v>1135</v>
      </c>
      <c r="E1496" s="36" t="s">
        <v>1140</v>
      </c>
      <c r="F1496" s="61">
        <v>10.226000000000004</v>
      </c>
      <c r="G1496" s="25">
        <v>209100</v>
      </c>
    </row>
    <row r="1497" spans="2:7">
      <c r="B1497" s="24">
        <v>20</v>
      </c>
      <c r="C1497" s="24" t="s">
        <v>759</v>
      </c>
      <c r="D1497" s="36" t="s">
        <v>233</v>
      </c>
      <c r="E1497" s="36" t="s">
        <v>1140</v>
      </c>
      <c r="F1497" s="61">
        <v>0</v>
      </c>
      <c r="G1497" s="25">
        <v>213300</v>
      </c>
    </row>
    <row r="1498" spans="2:7">
      <c r="B1498" s="24">
        <v>20</v>
      </c>
      <c r="C1498" s="24" t="s">
        <v>1062</v>
      </c>
      <c r="D1498" s="109" t="s">
        <v>1135</v>
      </c>
      <c r="E1498" s="36" t="s">
        <v>1140</v>
      </c>
      <c r="F1498" s="61">
        <v>2.8000000000000469E-2</v>
      </c>
      <c r="G1498" s="25">
        <v>207800</v>
      </c>
    </row>
    <row r="1499" spans="2:7">
      <c r="B1499" s="24">
        <v>20</v>
      </c>
      <c r="C1499" s="24" t="s">
        <v>1062</v>
      </c>
      <c r="D1499" s="36" t="s">
        <v>233</v>
      </c>
      <c r="E1499" s="36" t="s">
        <v>1140</v>
      </c>
      <c r="F1499" s="61">
        <v>0</v>
      </c>
      <c r="G1499" s="25">
        <v>212000</v>
      </c>
    </row>
    <row r="1500" spans="2:7">
      <c r="B1500" s="24">
        <v>20</v>
      </c>
      <c r="C1500" s="24" t="s">
        <v>760</v>
      </c>
      <c r="D1500" s="109" t="s">
        <v>1135</v>
      </c>
      <c r="E1500" s="36" t="s">
        <v>1140</v>
      </c>
      <c r="F1500" s="61">
        <v>3.1840000000000006</v>
      </c>
      <c r="G1500" s="25">
        <v>216400</v>
      </c>
    </row>
    <row r="1501" spans="2:7">
      <c r="B1501" s="24">
        <v>20</v>
      </c>
      <c r="C1501" s="24" t="s">
        <v>760</v>
      </c>
      <c r="D1501" s="36" t="s">
        <v>233</v>
      </c>
      <c r="E1501" s="36" t="s">
        <v>1140</v>
      </c>
      <c r="F1501" s="61">
        <v>0</v>
      </c>
      <c r="G1501" s="25">
        <v>220700</v>
      </c>
    </row>
    <row r="1502" spans="2:7">
      <c r="B1502" s="24">
        <v>20</v>
      </c>
      <c r="C1502" s="24" t="s">
        <v>113</v>
      </c>
      <c r="D1502" s="109" t="s">
        <v>1135</v>
      </c>
      <c r="E1502" s="36" t="s">
        <v>1140</v>
      </c>
      <c r="F1502" s="61">
        <v>8.6669999999999945</v>
      </c>
      <c r="G1502" s="25">
        <v>184000</v>
      </c>
    </row>
    <row r="1503" spans="2:7">
      <c r="B1503" s="24">
        <v>20</v>
      </c>
      <c r="C1503" s="24" t="s">
        <v>113</v>
      </c>
      <c r="D1503" s="36" t="s">
        <v>233</v>
      </c>
      <c r="E1503" s="36" t="s">
        <v>1140</v>
      </c>
      <c r="F1503" s="61">
        <v>4.0000000000005378E-3</v>
      </c>
      <c r="G1503" s="25">
        <v>215600</v>
      </c>
    </row>
    <row r="1504" spans="2:7">
      <c r="B1504" s="24">
        <v>20</v>
      </c>
      <c r="C1504" s="24" t="s">
        <v>197</v>
      </c>
      <c r="D1504" s="109" t="s">
        <v>1135</v>
      </c>
      <c r="E1504" s="36" t="s">
        <v>1140</v>
      </c>
      <c r="F1504" s="61">
        <v>6.9110000000000023</v>
      </c>
      <c r="G1504" s="25">
        <v>207900</v>
      </c>
    </row>
    <row r="1505" spans="2:7">
      <c r="B1505" s="24">
        <v>20</v>
      </c>
      <c r="C1505" s="24" t="s">
        <v>197</v>
      </c>
      <c r="D1505" s="36" t="s">
        <v>233</v>
      </c>
      <c r="E1505" s="36" t="s">
        <v>1140</v>
      </c>
      <c r="F1505" s="61">
        <v>0.82200000000000006</v>
      </c>
      <c r="G1505" s="25">
        <v>212000</v>
      </c>
    </row>
    <row r="1506" spans="2:7">
      <c r="B1506" s="24">
        <v>20</v>
      </c>
      <c r="C1506" s="24" t="s">
        <v>237</v>
      </c>
      <c r="D1506" s="109" t="s">
        <v>1135</v>
      </c>
      <c r="E1506" s="36" t="s">
        <v>1140</v>
      </c>
      <c r="F1506" s="61">
        <v>4.2750000000000057</v>
      </c>
      <c r="G1506" s="25">
        <v>206500</v>
      </c>
    </row>
    <row r="1507" spans="2:7">
      <c r="B1507" s="24">
        <v>20</v>
      </c>
      <c r="C1507" s="24" t="s">
        <v>237</v>
      </c>
      <c r="D1507" s="36" t="s">
        <v>233</v>
      </c>
      <c r="E1507" s="36" t="s">
        <v>1140</v>
      </c>
      <c r="F1507" s="61">
        <v>5.3000000000000796E-2</v>
      </c>
      <c r="G1507" s="25">
        <v>210700</v>
      </c>
    </row>
    <row r="1508" spans="2:7">
      <c r="B1508" s="28">
        <v>45</v>
      </c>
      <c r="C1508" s="24" t="s">
        <v>1116</v>
      </c>
      <c r="D1508" s="36" t="s">
        <v>233</v>
      </c>
      <c r="E1508" s="36" t="s">
        <v>1140</v>
      </c>
      <c r="F1508" s="61">
        <v>4.7080000000000002</v>
      </c>
      <c r="G1508" s="25" t="s">
        <v>1115</v>
      </c>
    </row>
    <row r="1509" spans="2:7">
      <c r="B1509" s="28">
        <v>10</v>
      </c>
      <c r="C1509" s="24" t="s">
        <v>761</v>
      </c>
      <c r="D1509" s="36" t="s">
        <v>233</v>
      </c>
      <c r="E1509" s="36" t="s">
        <v>1140</v>
      </c>
      <c r="F1509" s="61">
        <v>7.0000000000000007E-2</v>
      </c>
      <c r="G1509" s="25">
        <v>209800</v>
      </c>
    </row>
    <row r="1510" spans="2:7">
      <c r="B1510" s="24">
        <v>20</v>
      </c>
      <c r="C1510" s="24" t="s">
        <v>761</v>
      </c>
      <c r="D1510" s="109" t="s">
        <v>1135</v>
      </c>
      <c r="E1510" s="36" t="s">
        <v>1140</v>
      </c>
      <c r="F1510" s="61">
        <v>6.7070000000000007</v>
      </c>
      <c r="G1510" s="25">
        <v>205600</v>
      </c>
    </row>
    <row r="1511" spans="2:7">
      <c r="B1511" s="24">
        <v>20</v>
      </c>
      <c r="C1511" s="24" t="s">
        <v>761</v>
      </c>
      <c r="D1511" s="36" t="s">
        <v>233</v>
      </c>
      <c r="E1511" s="36" t="s">
        <v>1140</v>
      </c>
      <c r="F1511" s="61">
        <v>0</v>
      </c>
      <c r="G1511" s="25">
        <v>209800</v>
      </c>
    </row>
    <row r="1512" spans="2:7">
      <c r="B1512" s="24">
        <v>20</v>
      </c>
      <c r="C1512" s="24" t="s">
        <v>238</v>
      </c>
      <c r="D1512" s="109" t="s">
        <v>1135</v>
      </c>
      <c r="E1512" s="36" t="s">
        <v>1140</v>
      </c>
      <c r="F1512" s="61">
        <v>4.8230000000000137</v>
      </c>
      <c r="G1512" s="25">
        <v>204400</v>
      </c>
    </row>
    <row r="1513" spans="2:7">
      <c r="B1513" s="24">
        <v>20</v>
      </c>
      <c r="C1513" s="24" t="s">
        <v>238</v>
      </c>
      <c r="D1513" s="36" t="s">
        <v>233</v>
      </c>
      <c r="E1513" s="36" t="s">
        <v>1140</v>
      </c>
      <c r="F1513" s="61">
        <v>0</v>
      </c>
      <c r="G1513" s="25">
        <v>208500</v>
      </c>
    </row>
    <row r="1514" spans="2:7">
      <c r="B1514" s="24">
        <v>20</v>
      </c>
      <c r="C1514" s="24" t="s">
        <v>239</v>
      </c>
      <c r="D1514" s="109" t="s">
        <v>1135</v>
      </c>
      <c r="E1514" s="36" t="s">
        <v>1140</v>
      </c>
      <c r="F1514" s="61">
        <v>15.150000000000002</v>
      </c>
      <c r="G1514" s="25">
        <v>209200</v>
      </c>
    </row>
    <row r="1515" spans="2:7">
      <c r="B1515" s="24">
        <v>20</v>
      </c>
      <c r="C1515" s="24" t="s">
        <v>239</v>
      </c>
      <c r="D1515" s="36" t="s">
        <v>233</v>
      </c>
      <c r="E1515" s="36" t="s">
        <v>1140</v>
      </c>
      <c r="F1515" s="61">
        <v>3.5000000000000003E-2</v>
      </c>
      <c r="G1515" s="25">
        <v>213400</v>
      </c>
    </row>
    <row r="1516" spans="2:7">
      <c r="B1516" s="24">
        <v>20</v>
      </c>
      <c r="C1516" s="24" t="s">
        <v>240</v>
      </c>
      <c r="D1516" s="109" t="s">
        <v>1135</v>
      </c>
      <c r="E1516" s="36" t="s">
        <v>1140</v>
      </c>
      <c r="F1516" s="61">
        <v>5.5619999999999994</v>
      </c>
      <c r="G1516" s="25">
        <v>207600</v>
      </c>
    </row>
    <row r="1517" spans="2:7">
      <c r="B1517" s="24">
        <v>20</v>
      </c>
      <c r="C1517" s="24" t="s">
        <v>240</v>
      </c>
      <c r="D1517" s="36" t="s">
        <v>233</v>
      </c>
      <c r="E1517" s="36" t="s">
        <v>1140</v>
      </c>
      <c r="F1517" s="61">
        <v>0</v>
      </c>
      <c r="G1517" s="25">
        <v>211800</v>
      </c>
    </row>
    <row r="1518" spans="2:7">
      <c r="B1518" s="24">
        <v>20</v>
      </c>
      <c r="C1518" s="24" t="s">
        <v>241</v>
      </c>
      <c r="D1518" s="109" t="s">
        <v>1135</v>
      </c>
      <c r="E1518" s="36" t="s">
        <v>1140</v>
      </c>
      <c r="F1518" s="61">
        <v>8.6620000000000026</v>
      </c>
      <c r="G1518" s="25">
        <v>206400</v>
      </c>
    </row>
    <row r="1519" spans="2:7">
      <c r="B1519" s="24">
        <v>20</v>
      </c>
      <c r="C1519" s="24" t="s">
        <v>241</v>
      </c>
      <c r="D1519" s="36" t="s">
        <v>233</v>
      </c>
      <c r="E1519" s="36" t="s">
        <v>1140</v>
      </c>
      <c r="F1519" s="61">
        <v>0</v>
      </c>
      <c r="G1519" s="25">
        <v>210500</v>
      </c>
    </row>
    <row r="1520" spans="2:7">
      <c r="B1520" s="24">
        <v>20</v>
      </c>
      <c r="C1520" s="24" t="s">
        <v>116</v>
      </c>
      <c r="D1520" s="109" t="s">
        <v>1135</v>
      </c>
      <c r="E1520" s="36" t="s">
        <v>1140</v>
      </c>
      <c r="F1520" s="61">
        <v>2.3679999999999972</v>
      </c>
      <c r="G1520" s="25">
        <v>214100</v>
      </c>
    </row>
    <row r="1521" spans="2:7">
      <c r="B1521" s="24">
        <v>20</v>
      </c>
      <c r="C1521" s="24" t="s">
        <v>116</v>
      </c>
      <c r="D1521" s="36" t="s">
        <v>233</v>
      </c>
      <c r="E1521" s="36" t="s">
        <v>1140</v>
      </c>
      <c r="F1521" s="61">
        <v>0.11099999999999996</v>
      </c>
      <c r="G1521" s="25">
        <v>218400</v>
      </c>
    </row>
    <row r="1522" spans="2:7">
      <c r="B1522" s="24">
        <v>20</v>
      </c>
      <c r="C1522" s="24" t="s">
        <v>25</v>
      </c>
      <c r="D1522" s="109" t="s">
        <v>1135</v>
      </c>
      <c r="E1522" s="36" t="s">
        <v>1140</v>
      </c>
      <c r="F1522" s="61">
        <v>17.304000000000002</v>
      </c>
      <c r="G1522" s="25">
        <v>191000</v>
      </c>
    </row>
    <row r="1523" spans="2:7">
      <c r="B1523" s="24">
        <v>20</v>
      </c>
      <c r="C1523" s="24" t="s">
        <v>25</v>
      </c>
      <c r="D1523" s="36" t="s">
        <v>233</v>
      </c>
      <c r="E1523" s="36" t="s">
        <v>1140</v>
      </c>
      <c r="F1523" s="61">
        <v>3.6000000000000587E-2</v>
      </c>
      <c r="G1523" s="25">
        <v>209300</v>
      </c>
    </row>
    <row r="1524" spans="2:7">
      <c r="B1524" s="24" t="s">
        <v>234</v>
      </c>
      <c r="C1524" s="24" t="s">
        <v>25</v>
      </c>
      <c r="D1524" s="36" t="s">
        <v>233</v>
      </c>
      <c r="E1524" s="36" t="s">
        <v>1140</v>
      </c>
      <c r="F1524" s="61">
        <v>1.1930000000000003</v>
      </c>
      <c r="G1524" s="25">
        <v>255380</v>
      </c>
    </row>
    <row r="1525" spans="2:7">
      <c r="B1525" s="24">
        <v>20</v>
      </c>
      <c r="C1525" s="24" t="s">
        <v>242</v>
      </c>
      <c r="D1525" s="109" t="s">
        <v>1135</v>
      </c>
      <c r="E1525" s="36" t="s">
        <v>1140</v>
      </c>
      <c r="F1525" s="61">
        <v>16.430499999999999</v>
      </c>
      <c r="G1525" s="25">
        <v>189500</v>
      </c>
    </row>
    <row r="1526" spans="2:7">
      <c r="B1526" s="24">
        <v>20</v>
      </c>
      <c r="C1526" s="24" t="s">
        <v>242</v>
      </c>
      <c r="D1526" s="36" t="s">
        <v>233</v>
      </c>
      <c r="E1526" s="36" t="s">
        <v>1140</v>
      </c>
      <c r="F1526" s="61">
        <v>0</v>
      </c>
      <c r="G1526" s="25">
        <v>207800</v>
      </c>
    </row>
    <row r="1527" spans="2:7">
      <c r="B1527" s="28">
        <v>10</v>
      </c>
      <c r="C1527" s="24" t="s">
        <v>243</v>
      </c>
      <c r="D1527" s="36" t="s">
        <v>233</v>
      </c>
      <c r="E1527" s="36" t="s">
        <v>1140</v>
      </c>
      <c r="F1527" s="61">
        <v>0.22</v>
      </c>
      <c r="G1527" s="25">
        <v>206600</v>
      </c>
    </row>
    <row r="1528" spans="2:7">
      <c r="B1528" s="24">
        <v>20</v>
      </c>
      <c r="C1528" s="24" t="s">
        <v>243</v>
      </c>
      <c r="D1528" s="109" t="s">
        <v>1135</v>
      </c>
      <c r="E1528" s="36" t="s">
        <v>1140</v>
      </c>
      <c r="F1528" s="61">
        <v>28.265999999999995</v>
      </c>
      <c r="G1528" s="25">
        <v>180000</v>
      </c>
    </row>
    <row r="1529" spans="2:7">
      <c r="B1529" s="24">
        <v>20</v>
      </c>
      <c r="C1529" s="24" t="s">
        <v>243</v>
      </c>
      <c r="D1529" s="36" t="s">
        <v>233</v>
      </c>
      <c r="E1529" s="36" t="s">
        <v>1140</v>
      </c>
      <c r="F1529" s="61">
        <v>0</v>
      </c>
      <c r="G1529" s="25">
        <v>206600</v>
      </c>
    </row>
    <row r="1530" spans="2:7">
      <c r="B1530" s="24" t="s">
        <v>234</v>
      </c>
      <c r="C1530" s="24" t="s">
        <v>243</v>
      </c>
      <c r="D1530" s="36" t="s">
        <v>233</v>
      </c>
      <c r="E1530" s="36" t="s">
        <v>1140</v>
      </c>
      <c r="F1530" s="61">
        <v>1.8800000000000039</v>
      </c>
      <c r="G1530" s="25">
        <v>252007</v>
      </c>
    </row>
    <row r="1531" spans="2:7">
      <c r="B1531" s="24">
        <v>20</v>
      </c>
      <c r="C1531" s="24" t="s">
        <v>244</v>
      </c>
      <c r="D1531" s="109" t="s">
        <v>1135</v>
      </c>
      <c r="E1531" s="36" t="s">
        <v>1140</v>
      </c>
      <c r="F1531" s="61">
        <v>7.5670000000000019</v>
      </c>
      <c r="G1531" s="25">
        <v>178900</v>
      </c>
    </row>
    <row r="1532" spans="2:7">
      <c r="B1532" s="24">
        <v>20</v>
      </c>
      <c r="C1532" s="24" t="s">
        <v>244</v>
      </c>
      <c r="D1532" s="36" t="s">
        <v>233</v>
      </c>
      <c r="E1532" s="36" t="s">
        <v>1140</v>
      </c>
      <c r="F1532" s="61">
        <v>5.8000000000000884E-2</v>
      </c>
      <c r="G1532" s="25">
        <v>205800</v>
      </c>
    </row>
    <row r="1533" spans="2:7">
      <c r="B1533" s="24" t="s">
        <v>234</v>
      </c>
      <c r="C1533" s="24" t="s">
        <v>244</v>
      </c>
      <c r="D1533" s="36" t="s">
        <v>233</v>
      </c>
      <c r="E1533" s="36" t="s">
        <v>1140</v>
      </c>
      <c r="F1533" s="61">
        <v>0.77800000000000125</v>
      </c>
      <c r="G1533" s="25">
        <v>251100</v>
      </c>
    </row>
    <row r="1534" spans="2:7">
      <c r="B1534" s="24">
        <v>20</v>
      </c>
      <c r="C1534" s="24" t="s">
        <v>245</v>
      </c>
      <c r="D1534" s="109" t="s">
        <v>1135</v>
      </c>
      <c r="E1534" s="36" t="s">
        <v>1140</v>
      </c>
      <c r="F1534" s="61">
        <v>7.049000000000003</v>
      </c>
      <c r="G1534" s="25">
        <v>204700</v>
      </c>
    </row>
    <row r="1535" spans="2:7">
      <c r="B1535" s="24">
        <v>20</v>
      </c>
      <c r="C1535" s="24" t="s">
        <v>245</v>
      </c>
      <c r="D1535" s="36" t="s">
        <v>233</v>
      </c>
      <c r="E1535" s="36" t="s">
        <v>1140</v>
      </c>
      <c r="F1535" s="61">
        <v>1.5370000000000001</v>
      </c>
      <c r="G1535" s="25">
        <v>208800</v>
      </c>
    </row>
    <row r="1536" spans="2:7">
      <c r="B1536" s="24">
        <v>20</v>
      </c>
      <c r="C1536" s="24" t="s">
        <v>246</v>
      </c>
      <c r="D1536" s="109" t="s">
        <v>1135</v>
      </c>
      <c r="E1536" s="36" t="s">
        <v>1140</v>
      </c>
      <c r="F1536" s="61">
        <v>3.8510000000000009</v>
      </c>
      <c r="G1536" s="25">
        <v>207800</v>
      </c>
    </row>
    <row r="1537" spans="2:7">
      <c r="B1537" s="24">
        <v>20</v>
      </c>
      <c r="C1537" s="24" t="s">
        <v>246</v>
      </c>
      <c r="D1537" s="36" t="s">
        <v>233</v>
      </c>
      <c r="E1537" s="36" t="s">
        <v>1140</v>
      </c>
      <c r="F1537" s="61">
        <v>0</v>
      </c>
      <c r="G1537" s="25">
        <v>212000</v>
      </c>
    </row>
    <row r="1538" spans="2:7">
      <c r="B1538" s="24">
        <v>20</v>
      </c>
      <c r="C1538" s="24" t="s">
        <v>247</v>
      </c>
      <c r="D1538" s="109" t="s">
        <v>1135</v>
      </c>
      <c r="E1538" s="36" t="s">
        <v>1140</v>
      </c>
      <c r="F1538" s="61">
        <v>1.8160000000000054</v>
      </c>
      <c r="G1538" s="25">
        <v>206300</v>
      </c>
    </row>
    <row r="1539" spans="2:7">
      <c r="B1539" s="24">
        <v>20</v>
      </c>
      <c r="C1539" s="24" t="s">
        <v>247</v>
      </c>
      <c r="D1539" s="36" t="s">
        <v>233</v>
      </c>
      <c r="E1539" s="36" t="s">
        <v>1140</v>
      </c>
      <c r="F1539" s="61">
        <v>0</v>
      </c>
      <c r="G1539" s="25">
        <v>210400</v>
      </c>
    </row>
    <row r="1540" spans="2:7">
      <c r="B1540" s="24">
        <v>20</v>
      </c>
      <c r="C1540" s="24" t="s">
        <v>247</v>
      </c>
      <c r="D1540" s="104" t="s">
        <v>930</v>
      </c>
      <c r="E1540" s="36" t="s">
        <v>1140</v>
      </c>
      <c r="F1540" s="107">
        <v>9.1999999999999998E-2</v>
      </c>
      <c r="G1540" s="110">
        <v>143435</v>
      </c>
    </row>
    <row r="1541" spans="2:7">
      <c r="B1541" s="24">
        <v>20</v>
      </c>
      <c r="C1541" s="24" t="s">
        <v>248</v>
      </c>
      <c r="D1541" s="109" t="s">
        <v>1135</v>
      </c>
      <c r="E1541" s="36" t="s">
        <v>1140</v>
      </c>
      <c r="F1541" s="61">
        <v>1.4589999999999965</v>
      </c>
      <c r="G1541" s="25">
        <v>205100</v>
      </c>
    </row>
    <row r="1542" spans="2:7">
      <c r="B1542" s="24">
        <v>20</v>
      </c>
      <c r="C1542" s="24" t="s">
        <v>248</v>
      </c>
      <c r="D1542" s="36" t="s">
        <v>233</v>
      </c>
      <c r="E1542" s="36" t="s">
        <v>1140</v>
      </c>
      <c r="F1542" s="61">
        <v>0</v>
      </c>
      <c r="G1542" s="25">
        <v>209200</v>
      </c>
    </row>
    <row r="1543" spans="2:7">
      <c r="B1543" s="24">
        <v>20</v>
      </c>
      <c r="C1543" s="24" t="s">
        <v>1054</v>
      </c>
      <c r="D1543" s="109" t="s">
        <v>1135</v>
      </c>
      <c r="E1543" s="36" t="s">
        <v>1140</v>
      </c>
      <c r="F1543" s="61">
        <v>12.327999999999999</v>
      </c>
      <c r="G1543" s="25">
        <v>217700</v>
      </c>
    </row>
    <row r="1544" spans="2:7">
      <c r="B1544" s="24">
        <v>20</v>
      </c>
      <c r="C1544" s="24" t="s">
        <v>1054</v>
      </c>
      <c r="D1544" s="36" t="s">
        <v>233</v>
      </c>
      <c r="E1544" s="36" t="s">
        <v>1140</v>
      </c>
      <c r="F1544" s="61">
        <v>0</v>
      </c>
      <c r="G1544" s="25">
        <v>255400</v>
      </c>
    </row>
    <row r="1545" spans="2:7">
      <c r="B1545" s="24">
        <v>20</v>
      </c>
      <c r="C1545" s="24" t="s">
        <v>117</v>
      </c>
      <c r="D1545" s="109" t="s">
        <v>1135</v>
      </c>
      <c r="E1545" s="36" t="s">
        <v>1140</v>
      </c>
      <c r="F1545" s="61">
        <v>2.4400000000000031</v>
      </c>
      <c r="G1545" s="25">
        <v>211200</v>
      </c>
    </row>
    <row r="1546" spans="2:7">
      <c r="B1546" s="24">
        <v>20</v>
      </c>
      <c r="C1546" s="24" t="s">
        <v>117</v>
      </c>
      <c r="D1546" s="36" t="s">
        <v>233</v>
      </c>
      <c r="E1546" s="36" t="s">
        <v>1140</v>
      </c>
      <c r="F1546" s="61">
        <v>0</v>
      </c>
      <c r="G1546" s="25">
        <v>215400</v>
      </c>
    </row>
    <row r="1547" spans="2:7">
      <c r="B1547" s="24">
        <v>20</v>
      </c>
      <c r="C1547" s="24" t="s">
        <v>26</v>
      </c>
      <c r="D1547" s="109" t="s">
        <v>1135</v>
      </c>
      <c r="E1547" s="36" t="s">
        <v>1140</v>
      </c>
      <c r="F1547" s="61">
        <v>5.6880000000000042</v>
      </c>
      <c r="G1547" s="25">
        <v>207500</v>
      </c>
    </row>
    <row r="1548" spans="2:7">
      <c r="B1548" s="24">
        <v>20</v>
      </c>
      <c r="C1548" s="24" t="s">
        <v>26</v>
      </c>
      <c r="D1548" s="36" t="s">
        <v>233</v>
      </c>
      <c r="E1548" s="36" t="s">
        <v>1140</v>
      </c>
      <c r="F1548" s="61">
        <v>0</v>
      </c>
      <c r="G1548" s="25">
        <v>208600</v>
      </c>
    </row>
    <row r="1549" spans="2:7">
      <c r="B1549" s="24" t="s">
        <v>234</v>
      </c>
      <c r="C1549" s="24" t="s">
        <v>26</v>
      </c>
      <c r="D1549" s="36" t="s">
        <v>233</v>
      </c>
      <c r="E1549" s="36" t="s">
        <v>1140</v>
      </c>
      <c r="F1549" s="61">
        <v>3.0519999999999996</v>
      </c>
      <c r="G1549" s="25">
        <v>254521</v>
      </c>
    </row>
    <row r="1550" spans="2:7">
      <c r="B1550" s="24">
        <v>20</v>
      </c>
      <c r="C1550" s="24" t="s">
        <v>27</v>
      </c>
      <c r="D1550" s="109" t="s">
        <v>1135</v>
      </c>
      <c r="E1550" s="36" t="s">
        <v>1140</v>
      </c>
      <c r="F1550" s="61">
        <v>7.4119999999999999</v>
      </c>
      <c r="G1550" s="25">
        <v>207300</v>
      </c>
    </row>
    <row r="1551" spans="2:7">
      <c r="B1551" s="24">
        <v>20</v>
      </c>
      <c r="C1551" s="24" t="s">
        <v>27</v>
      </c>
      <c r="D1551" s="36" t="s">
        <v>233</v>
      </c>
      <c r="E1551" s="36" t="s">
        <v>1140</v>
      </c>
      <c r="F1551" s="61">
        <v>0</v>
      </c>
      <c r="G1551" s="25">
        <v>211500</v>
      </c>
    </row>
    <row r="1552" spans="2:7">
      <c r="B1552" s="24">
        <v>20</v>
      </c>
      <c r="C1552" s="24" t="s">
        <v>28</v>
      </c>
      <c r="D1552" s="109" t="s">
        <v>1135</v>
      </c>
      <c r="E1552" s="36" t="s">
        <v>1140</v>
      </c>
      <c r="F1552" s="61">
        <v>3.4120000000000035</v>
      </c>
      <c r="G1552" s="25">
        <v>206200</v>
      </c>
    </row>
    <row r="1553" spans="2:7">
      <c r="B1553" s="24">
        <v>20</v>
      </c>
      <c r="C1553" s="24" t="s">
        <v>28</v>
      </c>
      <c r="D1553" s="36" t="s">
        <v>233</v>
      </c>
      <c r="E1553" s="36" t="s">
        <v>1140</v>
      </c>
      <c r="F1553" s="61">
        <v>0</v>
      </c>
      <c r="G1553" s="25">
        <v>210300</v>
      </c>
    </row>
    <row r="1554" spans="2:7">
      <c r="B1554" s="24" t="s">
        <v>234</v>
      </c>
      <c r="C1554" s="24" t="s">
        <v>28</v>
      </c>
      <c r="D1554" s="36" t="s">
        <v>233</v>
      </c>
      <c r="E1554" s="36" t="s">
        <v>1140</v>
      </c>
      <c r="F1554" s="61">
        <v>3.4660000000000002</v>
      </c>
      <c r="G1554" s="25">
        <v>251531</v>
      </c>
    </row>
    <row r="1555" spans="2:7">
      <c r="B1555" s="24">
        <v>20</v>
      </c>
      <c r="C1555" s="24" t="s">
        <v>1117</v>
      </c>
      <c r="D1555" s="109" t="s">
        <v>1135</v>
      </c>
      <c r="E1555" s="36" t="s">
        <v>1140</v>
      </c>
      <c r="F1555" s="61">
        <v>0.11799999999999999</v>
      </c>
      <c r="G1555" s="25" t="s">
        <v>1115</v>
      </c>
    </row>
    <row r="1556" spans="2:7">
      <c r="B1556" s="24">
        <v>20</v>
      </c>
      <c r="C1556" s="24" t="s">
        <v>29</v>
      </c>
      <c r="D1556" s="109" t="s">
        <v>1135</v>
      </c>
      <c r="E1556" s="36" t="s">
        <v>1140</v>
      </c>
      <c r="F1556" s="61">
        <v>4.9319999999999995</v>
      </c>
      <c r="G1556" s="25">
        <v>205700</v>
      </c>
    </row>
    <row r="1557" spans="2:7">
      <c r="B1557" s="24">
        <v>20</v>
      </c>
      <c r="C1557" s="24" t="s">
        <v>29</v>
      </c>
      <c r="D1557" s="36" t="s">
        <v>233</v>
      </c>
      <c r="E1557" s="36" t="s">
        <v>1140</v>
      </c>
      <c r="F1557" s="61">
        <v>1.4E-2</v>
      </c>
      <c r="G1557" s="25">
        <v>209800</v>
      </c>
    </row>
    <row r="1558" spans="2:7">
      <c r="B1558" s="24" t="s">
        <v>234</v>
      </c>
      <c r="C1558" s="24" t="s">
        <v>29</v>
      </c>
      <c r="D1558" s="36" t="s">
        <v>233</v>
      </c>
      <c r="E1558" s="36" t="s">
        <v>1140</v>
      </c>
      <c r="F1558" s="61">
        <v>7.530000000000002</v>
      </c>
      <c r="G1558" s="25">
        <v>250874</v>
      </c>
    </row>
    <row r="1559" spans="2:7">
      <c r="B1559" s="24">
        <v>20</v>
      </c>
      <c r="C1559" s="24" t="s">
        <v>249</v>
      </c>
      <c r="D1559" s="109" t="s">
        <v>1135</v>
      </c>
      <c r="E1559" s="36" t="s">
        <v>1140</v>
      </c>
      <c r="F1559" s="61">
        <v>19.497999999999998</v>
      </c>
      <c r="G1559" s="25">
        <v>177900</v>
      </c>
    </row>
    <row r="1560" spans="2:7">
      <c r="B1560" s="24">
        <v>20</v>
      </c>
      <c r="C1560" s="24" t="s">
        <v>249</v>
      </c>
      <c r="D1560" s="36" t="s">
        <v>233</v>
      </c>
      <c r="E1560" s="36" t="s">
        <v>1140</v>
      </c>
      <c r="F1560" s="61">
        <v>0</v>
      </c>
      <c r="G1560" s="25">
        <v>208800</v>
      </c>
    </row>
    <row r="1561" spans="2:7">
      <c r="B1561" s="24" t="s">
        <v>234</v>
      </c>
      <c r="C1561" s="24" t="s">
        <v>249</v>
      </c>
      <c r="D1561" s="36" t="s">
        <v>233</v>
      </c>
      <c r="E1561" s="36" t="s">
        <v>1140</v>
      </c>
      <c r="F1561" s="61">
        <v>3.4869999999999979</v>
      </c>
      <c r="G1561" s="25">
        <v>249687</v>
      </c>
    </row>
    <row r="1562" spans="2:7">
      <c r="B1562" s="24">
        <v>20</v>
      </c>
      <c r="C1562" s="24" t="s">
        <v>250</v>
      </c>
      <c r="D1562" s="109" t="s">
        <v>1135</v>
      </c>
      <c r="E1562" s="36" t="s">
        <v>1140</v>
      </c>
      <c r="F1562" s="61">
        <v>3.2169999999999965</v>
      </c>
      <c r="G1562" s="25">
        <v>206200</v>
      </c>
    </row>
    <row r="1563" spans="2:7">
      <c r="B1563" s="24">
        <v>20</v>
      </c>
      <c r="C1563" s="24" t="s">
        <v>250</v>
      </c>
      <c r="D1563" s="36" t="s">
        <v>233</v>
      </c>
      <c r="E1563" s="36" t="s">
        <v>1140</v>
      </c>
      <c r="F1563" s="61">
        <v>0</v>
      </c>
      <c r="G1563" s="25">
        <v>210300</v>
      </c>
    </row>
    <row r="1564" spans="2:7">
      <c r="B1564" s="24">
        <v>20</v>
      </c>
      <c r="C1564" s="24" t="s">
        <v>251</v>
      </c>
      <c r="D1564" s="109" t="s">
        <v>1135</v>
      </c>
      <c r="E1564" s="36" t="s">
        <v>1140</v>
      </c>
      <c r="F1564" s="61">
        <v>14.412000000000003</v>
      </c>
      <c r="G1564" s="25">
        <v>204700</v>
      </c>
    </row>
    <row r="1565" spans="2:7">
      <c r="B1565" s="24">
        <v>20</v>
      </c>
      <c r="C1565" s="24" t="s">
        <v>251</v>
      </c>
      <c r="D1565" s="36" t="s">
        <v>233</v>
      </c>
      <c r="E1565" s="36" t="s">
        <v>1140</v>
      </c>
      <c r="F1565" s="61">
        <v>0</v>
      </c>
      <c r="G1565" s="25">
        <v>208800</v>
      </c>
    </row>
    <row r="1566" spans="2:7">
      <c r="B1566" s="24">
        <v>20</v>
      </c>
      <c r="C1566" s="24" t="s">
        <v>252</v>
      </c>
      <c r="D1566" s="109" t="s">
        <v>1135</v>
      </c>
      <c r="E1566" s="36" t="s">
        <v>1140</v>
      </c>
      <c r="F1566" s="61">
        <v>5.5879999999999983</v>
      </c>
      <c r="G1566" s="25">
        <v>207300</v>
      </c>
    </row>
    <row r="1567" spans="2:7">
      <c r="B1567" s="24">
        <v>20</v>
      </c>
      <c r="C1567" s="24" t="s">
        <v>252</v>
      </c>
      <c r="D1567" s="36" t="s">
        <v>233</v>
      </c>
      <c r="E1567" s="36" t="s">
        <v>1140</v>
      </c>
      <c r="F1567" s="61">
        <v>0</v>
      </c>
      <c r="G1567" s="25">
        <v>214500</v>
      </c>
    </row>
    <row r="1568" spans="2:7">
      <c r="B1568" s="24">
        <v>20</v>
      </c>
      <c r="C1568" s="24" t="s">
        <v>253</v>
      </c>
      <c r="D1568" s="109" t="s">
        <v>1135</v>
      </c>
      <c r="E1568" s="36" t="s">
        <v>1140</v>
      </c>
      <c r="F1568" s="61">
        <v>0.29700000000000126</v>
      </c>
      <c r="G1568" s="25">
        <v>207300</v>
      </c>
    </row>
    <row r="1569" spans="2:7">
      <c r="B1569" s="24">
        <v>20</v>
      </c>
      <c r="C1569" s="24" t="s">
        <v>253</v>
      </c>
      <c r="D1569" s="36" t="s">
        <v>233</v>
      </c>
      <c r="E1569" s="36" t="s">
        <v>1140</v>
      </c>
      <c r="F1569" s="61">
        <v>4.2000000000000003E-2</v>
      </c>
      <c r="G1569" s="25">
        <v>211500</v>
      </c>
    </row>
    <row r="1570" spans="2:7">
      <c r="B1570" s="24">
        <v>20</v>
      </c>
      <c r="C1570" s="24" t="s">
        <v>762</v>
      </c>
      <c r="D1570" s="109" t="s">
        <v>1135</v>
      </c>
      <c r="E1570" s="36" t="s">
        <v>1140</v>
      </c>
      <c r="F1570" s="61">
        <v>3.375</v>
      </c>
      <c r="G1570" s="25">
        <v>212400</v>
      </c>
    </row>
    <row r="1571" spans="2:7">
      <c r="B1571" s="24">
        <v>20</v>
      </c>
      <c r="C1571" s="24" t="s">
        <v>762</v>
      </c>
      <c r="D1571" s="36" t="s">
        <v>233</v>
      </c>
      <c r="E1571" s="36" t="s">
        <v>1140</v>
      </c>
      <c r="F1571" s="61">
        <v>0</v>
      </c>
      <c r="G1571" s="25">
        <v>216700</v>
      </c>
    </row>
    <row r="1572" spans="2:7">
      <c r="B1572" s="24">
        <v>20</v>
      </c>
      <c r="C1572" s="24" t="s">
        <v>30</v>
      </c>
      <c r="D1572" s="109" t="s">
        <v>1135</v>
      </c>
      <c r="E1572" s="36" t="s">
        <v>1140</v>
      </c>
      <c r="F1572" s="61">
        <v>3.2729999999999975</v>
      </c>
      <c r="G1572" s="25">
        <v>190000</v>
      </c>
    </row>
    <row r="1573" spans="2:7">
      <c r="B1573" s="24">
        <v>20</v>
      </c>
      <c r="C1573" s="24" t="s">
        <v>30</v>
      </c>
      <c r="D1573" s="36" t="s">
        <v>233</v>
      </c>
      <c r="E1573" s="36" t="s">
        <v>1140</v>
      </c>
      <c r="F1573" s="61">
        <v>1.5460000000000025</v>
      </c>
      <c r="G1573" s="25">
        <v>212300</v>
      </c>
    </row>
    <row r="1574" spans="2:7">
      <c r="B1574" s="24" t="s">
        <v>234</v>
      </c>
      <c r="C1574" s="24" t="s">
        <v>30</v>
      </c>
      <c r="D1574" s="36" t="s">
        <v>233</v>
      </c>
      <c r="E1574" s="36" t="s">
        <v>1140</v>
      </c>
      <c r="F1574" s="61">
        <v>7.9000000000000181E-2</v>
      </c>
      <c r="G1574" s="25">
        <v>247665</v>
      </c>
    </row>
    <row r="1575" spans="2:7">
      <c r="B1575" s="24">
        <v>20</v>
      </c>
      <c r="C1575" s="24" t="s">
        <v>254</v>
      </c>
      <c r="D1575" s="109" t="s">
        <v>1135</v>
      </c>
      <c r="E1575" s="36" t="s">
        <v>1140</v>
      </c>
      <c r="F1575" s="61">
        <v>6.5199999999999889</v>
      </c>
      <c r="G1575" s="25">
        <v>188800</v>
      </c>
    </row>
    <row r="1576" spans="2:7">
      <c r="B1576" s="24">
        <v>20</v>
      </c>
      <c r="C1576" s="24" t="s">
        <v>254</v>
      </c>
      <c r="D1576" s="36" t="s">
        <v>233</v>
      </c>
      <c r="E1576" s="36" t="s">
        <v>1140</v>
      </c>
      <c r="F1576" s="61">
        <v>2.6367796834847468E-16</v>
      </c>
      <c r="G1576" s="25">
        <v>206000</v>
      </c>
    </row>
    <row r="1577" spans="2:7">
      <c r="B1577" s="28">
        <v>10</v>
      </c>
      <c r="C1577" s="24" t="s">
        <v>255</v>
      </c>
      <c r="D1577" s="36" t="s">
        <v>233</v>
      </c>
      <c r="E1577" s="36" t="s">
        <v>1140</v>
      </c>
      <c r="F1577" s="61">
        <v>0.30499999999999999</v>
      </c>
      <c r="G1577" s="25">
        <v>210100</v>
      </c>
    </row>
    <row r="1578" spans="2:7">
      <c r="B1578" s="24">
        <v>20</v>
      </c>
      <c r="C1578" s="24" t="s">
        <v>255</v>
      </c>
      <c r="D1578" s="109" t="s">
        <v>1135</v>
      </c>
      <c r="E1578" s="36" t="s">
        <v>1140</v>
      </c>
      <c r="F1578" s="61">
        <v>27.113999999999997</v>
      </c>
      <c r="G1578" s="25">
        <v>188000</v>
      </c>
    </row>
    <row r="1579" spans="2:7">
      <c r="B1579" s="24">
        <v>20</v>
      </c>
      <c r="C1579" s="24" t="s">
        <v>255</v>
      </c>
      <c r="D1579" s="36" t="s">
        <v>233</v>
      </c>
      <c r="E1579" s="36" t="s">
        <v>1140</v>
      </c>
      <c r="F1579" s="61">
        <v>1.3210000000000002</v>
      </c>
      <c r="G1579" s="25">
        <v>210100</v>
      </c>
    </row>
    <row r="1580" spans="2:7">
      <c r="B1580" s="24" t="s">
        <v>234</v>
      </c>
      <c r="C1580" s="24" t="s">
        <v>255</v>
      </c>
      <c r="D1580" s="36" t="s">
        <v>233</v>
      </c>
      <c r="E1580" s="36" t="s">
        <v>1140</v>
      </c>
      <c r="F1580" s="61">
        <v>3.1110000000000047</v>
      </c>
      <c r="G1580" s="25">
        <v>251313</v>
      </c>
    </row>
    <row r="1581" spans="2:7">
      <c r="B1581" s="24">
        <v>20</v>
      </c>
      <c r="C1581" s="24" t="s">
        <v>256</v>
      </c>
      <c r="D1581" s="109" t="s">
        <v>1135</v>
      </c>
      <c r="E1581" s="36" t="s">
        <v>1140</v>
      </c>
      <c r="F1581" s="61">
        <v>8.4599999999999973</v>
      </c>
      <c r="G1581" s="25">
        <v>205600</v>
      </c>
    </row>
    <row r="1582" spans="2:7">
      <c r="B1582" s="24">
        <v>20</v>
      </c>
      <c r="C1582" s="24" t="s">
        <v>256</v>
      </c>
      <c r="D1582" s="36" t="s">
        <v>233</v>
      </c>
      <c r="E1582" s="36" t="s">
        <v>1140</v>
      </c>
      <c r="F1582" s="61">
        <v>3.4000000000000002E-2</v>
      </c>
      <c r="G1582" s="25">
        <v>209800</v>
      </c>
    </row>
    <row r="1583" spans="2:7">
      <c r="B1583" s="24">
        <v>20</v>
      </c>
      <c r="C1583" s="24" t="s">
        <v>257</v>
      </c>
      <c r="D1583" s="109" t="s">
        <v>1135</v>
      </c>
      <c r="E1583" s="36" t="s">
        <v>1140</v>
      </c>
      <c r="F1583" s="61">
        <v>1.5079999999999936</v>
      </c>
      <c r="G1583" s="25">
        <v>178800</v>
      </c>
    </row>
    <row r="1584" spans="2:7">
      <c r="B1584" s="24">
        <v>20</v>
      </c>
      <c r="C1584" s="24" t="s">
        <v>257</v>
      </c>
      <c r="D1584" s="36" t="s">
        <v>233</v>
      </c>
      <c r="E1584" s="36" t="s">
        <v>1140</v>
      </c>
      <c r="F1584" s="61">
        <v>0.2799999999999998</v>
      </c>
      <c r="G1584" s="25">
        <v>209800</v>
      </c>
    </row>
    <row r="1585" spans="2:7">
      <c r="B1585" s="24" t="s">
        <v>234</v>
      </c>
      <c r="C1585" s="24" t="s">
        <v>257</v>
      </c>
      <c r="D1585" s="36" t="s">
        <v>233</v>
      </c>
      <c r="E1585" s="36" t="s">
        <v>1140</v>
      </c>
      <c r="F1585" s="61">
        <v>1.3199999999999965</v>
      </c>
      <c r="G1585" s="25">
        <v>250874</v>
      </c>
    </row>
    <row r="1586" spans="2:7">
      <c r="B1586" s="24">
        <v>20</v>
      </c>
      <c r="C1586" s="24" t="s">
        <v>118</v>
      </c>
      <c r="D1586" s="109" t="s">
        <v>1135</v>
      </c>
      <c r="E1586" s="36" t="s">
        <v>1140</v>
      </c>
      <c r="F1586" s="61">
        <v>1.9569999999999921</v>
      </c>
      <c r="G1586" s="25">
        <v>178000</v>
      </c>
    </row>
    <row r="1587" spans="2:7">
      <c r="B1587" s="24">
        <v>20</v>
      </c>
      <c r="C1587" s="24" t="s">
        <v>118</v>
      </c>
      <c r="D1587" s="36" t="s">
        <v>233</v>
      </c>
      <c r="E1587" s="36" t="s">
        <v>1140</v>
      </c>
      <c r="F1587" s="61">
        <v>0</v>
      </c>
      <c r="G1587" s="25">
        <v>208900</v>
      </c>
    </row>
    <row r="1588" spans="2:7">
      <c r="B1588" s="24" t="s">
        <v>234</v>
      </c>
      <c r="C1588" s="24" t="s">
        <v>118</v>
      </c>
      <c r="D1588" s="36" t="s">
        <v>233</v>
      </c>
      <c r="E1588" s="36" t="s">
        <v>1140</v>
      </c>
      <c r="F1588" s="61">
        <v>6.5880000000000001</v>
      </c>
      <c r="G1588" s="25">
        <v>249843</v>
      </c>
    </row>
    <row r="1589" spans="2:7">
      <c r="B1589" s="24">
        <v>20</v>
      </c>
      <c r="C1589" s="24" t="s">
        <v>763</v>
      </c>
      <c r="D1589" s="109" t="s">
        <v>1135</v>
      </c>
      <c r="E1589" s="36" t="s">
        <v>1140</v>
      </c>
      <c r="F1589" s="61">
        <v>6.2319999999999984</v>
      </c>
      <c r="G1589" s="25">
        <v>204700</v>
      </c>
    </row>
    <row r="1590" spans="2:7">
      <c r="B1590" s="24">
        <v>20</v>
      </c>
      <c r="C1590" s="24" t="s">
        <v>763</v>
      </c>
      <c r="D1590" s="36" t="s">
        <v>233</v>
      </c>
      <c r="E1590" s="36" t="s">
        <v>1140</v>
      </c>
      <c r="F1590" s="61">
        <v>0</v>
      </c>
      <c r="G1590" s="25">
        <v>208800</v>
      </c>
    </row>
    <row r="1591" spans="2:7">
      <c r="B1591" s="24">
        <v>20</v>
      </c>
      <c r="C1591" s="24" t="s">
        <v>258</v>
      </c>
      <c r="D1591" s="109" t="s">
        <v>1135</v>
      </c>
      <c r="E1591" s="36" t="s">
        <v>1140</v>
      </c>
      <c r="F1591" s="61">
        <v>1.1140000000000025</v>
      </c>
      <c r="G1591" s="25">
        <v>207000</v>
      </c>
    </row>
    <row r="1592" spans="2:7">
      <c r="B1592" s="24">
        <v>20</v>
      </c>
      <c r="C1592" s="24" t="s">
        <v>258</v>
      </c>
      <c r="D1592" s="36" t="s">
        <v>233</v>
      </c>
      <c r="E1592" s="36" t="s">
        <v>1140</v>
      </c>
      <c r="F1592" s="61">
        <v>0</v>
      </c>
      <c r="G1592" s="25">
        <v>211100</v>
      </c>
    </row>
    <row r="1593" spans="2:7">
      <c r="B1593" s="24">
        <v>20</v>
      </c>
      <c r="C1593" s="24" t="s">
        <v>764</v>
      </c>
      <c r="D1593" s="109" t="s">
        <v>1135</v>
      </c>
      <c r="E1593" s="36" t="s">
        <v>1140</v>
      </c>
      <c r="F1593" s="61">
        <v>10.106999999999999</v>
      </c>
      <c r="G1593" s="25">
        <v>179000</v>
      </c>
    </row>
    <row r="1594" spans="2:7">
      <c r="B1594" s="24">
        <v>20</v>
      </c>
      <c r="C1594" s="24" t="s">
        <v>764</v>
      </c>
      <c r="D1594" s="36" t="s">
        <v>233</v>
      </c>
      <c r="E1594" s="36" t="s">
        <v>1140</v>
      </c>
      <c r="F1594" s="61">
        <v>0</v>
      </c>
      <c r="G1594" s="25">
        <v>210000</v>
      </c>
    </row>
    <row r="1595" spans="2:7">
      <c r="B1595" s="24">
        <v>20</v>
      </c>
      <c r="C1595" s="24" t="s">
        <v>259</v>
      </c>
      <c r="D1595" s="109" t="s">
        <v>1135</v>
      </c>
      <c r="E1595" s="36" t="s">
        <v>1140</v>
      </c>
      <c r="F1595" s="61">
        <v>-3.0964814046186007E-15</v>
      </c>
      <c r="G1595" s="25">
        <v>206000</v>
      </c>
    </row>
    <row r="1596" spans="2:7">
      <c r="B1596" s="24">
        <v>20</v>
      </c>
      <c r="C1596" s="24" t="s">
        <v>259</v>
      </c>
      <c r="D1596" s="36" t="s">
        <v>233</v>
      </c>
      <c r="E1596" s="36" t="s">
        <v>1140</v>
      </c>
      <c r="F1596" s="61">
        <v>2.2204460492503131E-15</v>
      </c>
      <c r="G1596" s="25">
        <v>210000</v>
      </c>
    </row>
    <row r="1597" spans="2:7">
      <c r="B1597" s="24" t="s">
        <v>234</v>
      </c>
      <c r="C1597" s="24" t="s">
        <v>259</v>
      </c>
      <c r="D1597" s="36" t="s">
        <v>233</v>
      </c>
      <c r="E1597" s="36" t="s">
        <v>1140</v>
      </c>
      <c r="F1597" s="61">
        <v>0</v>
      </c>
      <c r="G1597" s="25">
        <v>251200</v>
      </c>
    </row>
    <row r="1598" spans="2:7">
      <c r="B1598" s="24">
        <v>20</v>
      </c>
      <c r="C1598" s="24" t="s">
        <v>765</v>
      </c>
      <c r="D1598" s="109" t="s">
        <v>1135</v>
      </c>
      <c r="E1598" s="36" t="s">
        <v>1140</v>
      </c>
      <c r="F1598" s="61">
        <v>-9.9999999999683675E-5</v>
      </c>
      <c r="G1598" s="25">
        <v>210700</v>
      </c>
    </row>
    <row r="1599" spans="2:7">
      <c r="B1599" s="24">
        <v>20</v>
      </c>
      <c r="C1599" s="24" t="s">
        <v>765</v>
      </c>
      <c r="D1599" s="36" t="s">
        <v>233</v>
      </c>
      <c r="E1599" s="36" t="s">
        <v>1140</v>
      </c>
      <c r="F1599" s="61">
        <v>0</v>
      </c>
      <c r="G1599" s="25">
        <v>214900</v>
      </c>
    </row>
    <row r="1600" spans="2:7">
      <c r="B1600" s="24">
        <v>20</v>
      </c>
      <c r="C1600" s="24" t="s">
        <v>766</v>
      </c>
      <c r="D1600" s="109" t="s">
        <v>1135</v>
      </c>
      <c r="E1600" s="36" t="s">
        <v>1140</v>
      </c>
      <c r="F1600" s="61">
        <v>1.0849999999999957</v>
      </c>
      <c r="G1600" s="25">
        <v>208400</v>
      </c>
    </row>
    <row r="1601" spans="2:7">
      <c r="B1601" s="24">
        <v>20</v>
      </c>
      <c r="C1601" s="24" t="s">
        <v>766</v>
      </c>
      <c r="D1601" s="36" t="s">
        <v>233</v>
      </c>
      <c r="E1601" s="36" t="s">
        <v>1140</v>
      </c>
      <c r="F1601" s="61">
        <v>0.11699999999999997</v>
      </c>
      <c r="G1601" s="25">
        <v>208400</v>
      </c>
    </row>
    <row r="1602" spans="2:7">
      <c r="B1602" s="24">
        <v>20</v>
      </c>
      <c r="C1602" s="24" t="s">
        <v>767</v>
      </c>
      <c r="D1602" s="109" t="s">
        <v>1135</v>
      </c>
      <c r="E1602" s="36" t="s">
        <v>1140</v>
      </c>
      <c r="F1602" s="61">
        <v>1.3690000000000024</v>
      </c>
      <c r="G1602" s="25">
        <v>205500</v>
      </c>
    </row>
    <row r="1603" spans="2:7">
      <c r="B1603" s="24">
        <v>20</v>
      </c>
      <c r="C1603" s="24" t="s">
        <v>767</v>
      </c>
      <c r="D1603" s="36" t="s">
        <v>233</v>
      </c>
      <c r="E1603" s="36" t="s">
        <v>1140</v>
      </c>
      <c r="F1603" s="61">
        <v>0</v>
      </c>
      <c r="G1603" s="25">
        <v>205500</v>
      </c>
    </row>
    <row r="1604" spans="2:7">
      <c r="B1604" s="28">
        <v>10</v>
      </c>
      <c r="C1604" s="24" t="s">
        <v>260</v>
      </c>
      <c r="D1604" s="36" t="s">
        <v>233</v>
      </c>
      <c r="E1604" s="36" t="s">
        <v>1140</v>
      </c>
      <c r="F1604" s="61">
        <v>0.115</v>
      </c>
      <c r="G1604" s="25">
        <v>204700</v>
      </c>
    </row>
    <row r="1605" spans="2:7">
      <c r="B1605" s="24">
        <v>20</v>
      </c>
      <c r="C1605" s="24" t="s">
        <v>260</v>
      </c>
      <c r="D1605" s="109" t="s">
        <v>1135</v>
      </c>
      <c r="E1605" s="36" t="s">
        <v>1140</v>
      </c>
      <c r="F1605" s="61">
        <v>11.243000000000002</v>
      </c>
      <c r="G1605" s="25">
        <v>204700</v>
      </c>
    </row>
    <row r="1606" spans="2:7">
      <c r="B1606" s="24">
        <v>20</v>
      </c>
      <c r="C1606" s="24" t="s">
        <v>260</v>
      </c>
      <c r="D1606" s="36" t="s">
        <v>233</v>
      </c>
      <c r="E1606" s="36" t="s">
        <v>1140</v>
      </c>
      <c r="F1606" s="61">
        <v>6.9999999999999618E-2</v>
      </c>
      <c r="G1606" s="25">
        <v>204700</v>
      </c>
    </row>
    <row r="1607" spans="2:7">
      <c r="B1607" s="24" t="s">
        <v>234</v>
      </c>
      <c r="C1607" s="24" t="s">
        <v>260</v>
      </c>
      <c r="D1607" s="36" t="s">
        <v>233</v>
      </c>
      <c r="E1607" s="36" t="s">
        <v>1140</v>
      </c>
      <c r="F1607" s="61">
        <v>1.1320000000000003</v>
      </c>
      <c r="G1607" s="25">
        <v>249701</v>
      </c>
    </row>
    <row r="1608" spans="2:7">
      <c r="B1608" s="24">
        <v>20</v>
      </c>
      <c r="C1608" s="24" t="s">
        <v>261</v>
      </c>
      <c r="D1608" s="109" t="s">
        <v>1135</v>
      </c>
      <c r="E1608" s="36" t="s">
        <v>1140</v>
      </c>
      <c r="F1608" s="61">
        <v>0.45399999999998786</v>
      </c>
      <c r="G1608" s="25">
        <v>204400</v>
      </c>
    </row>
    <row r="1609" spans="2:7">
      <c r="B1609" s="24">
        <v>20</v>
      </c>
      <c r="C1609" s="24" t="s">
        <v>261</v>
      </c>
      <c r="D1609" s="36" t="s">
        <v>233</v>
      </c>
      <c r="E1609" s="36" t="s">
        <v>1140</v>
      </c>
      <c r="F1609" s="61">
        <v>-6.83481049534862E-16</v>
      </c>
      <c r="G1609" s="25">
        <v>208500</v>
      </c>
    </row>
    <row r="1610" spans="2:7">
      <c r="B1610" s="24">
        <v>20</v>
      </c>
      <c r="C1610" s="24" t="s">
        <v>261</v>
      </c>
      <c r="D1610" s="104" t="s">
        <v>930</v>
      </c>
      <c r="E1610" s="36" t="s">
        <v>1140</v>
      </c>
      <c r="F1610" s="107">
        <v>0.13</v>
      </c>
      <c r="G1610" s="110">
        <v>159934</v>
      </c>
    </row>
    <row r="1611" spans="2:7">
      <c r="B1611" s="24" t="s">
        <v>234</v>
      </c>
      <c r="C1611" s="24" t="s">
        <v>261</v>
      </c>
      <c r="D1611" s="36" t="s">
        <v>233</v>
      </c>
      <c r="E1611" s="36" t="s">
        <v>1140</v>
      </c>
      <c r="F1611" s="61">
        <v>0</v>
      </c>
      <c r="G1611" s="25">
        <v>249401</v>
      </c>
    </row>
    <row r="1612" spans="2:7">
      <c r="B1612" s="24">
        <v>20</v>
      </c>
      <c r="C1612" s="24" t="s">
        <v>262</v>
      </c>
      <c r="D1612" s="109" t="s">
        <v>1135</v>
      </c>
      <c r="E1612" s="36" t="s">
        <v>1140</v>
      </c>
      <c r="F1612" s="61">
        <v>-1.7069679003611782E-15</v>
      </c>
      <c r="G1612" s="25">
        <v>205400</v>
      </c>
    </row>
    <row r="1613" spans="2:7">
      <c r="B1613" s="24">
        <v>20</v>
      </c>
      <c r="C1613" s="24" t="s">
        <v>262</v>
      </c>
      <c r="D1613" s="36" t="s">
        <v>233</v>
      </c>
      <c r="E1613" s="36" t="s">
        <v>1140</v>
      </c>
      <c r="F1613" s="61">
        <v>0</v>
      </c>
      <c r="G1613" s="25">
        <v>209500</v>
      </c>
    </row>
    <row r="1614" spans="2:7">
      <c r="B1614" s="24">
        <v>20</v>
      </c>
      <c r="C1614" s="24" t="s">
        <v>263</v>
      </c>
      <c r="D1614" s="109" t="s">
        <v>1135</v>
      </c>
      <c r="E1614" s="36" t="s">
        <v>1140</v>
      </c>
      <c r="F1614" s="61">
        <v>4.1229999999999993</v>
      </c>
      <c r="G1614" s="25">
        <v>179000</v>
      </c>
    </row>
    <row r="1615" spans="2:7">
      <c r="B1615" s="24">
        <v>20</v>
      </c>
      <c r="C1615" s="24" t="s">
        <v>263</v>
      </c>
      <c r="D1615" s="36" t="s">
        <v>233</v>
      </c>
      <c r="E1615" s="36" t="s">
        <v>1140</v>
      </c>
      <c r="F1615" s="61">
        <v>0</v>
      </c>
      <c r="G1615" s="25">
        <v>210100</v>
      </c>
    </row>
    <row r="1616" spans="2:7">
      <c r="B1616" s="24">
        <v>20</v>
      </c>
      <c r="C1616" s="24" t="s">
        <v>264</v>
      </c>
      <c r="D1616" s="109" t="s">
        <v>1135</v>
      </c>
      <c r="E1616" s="36" t="s">
        <v>1140</v>
      </c>
      <c r="F1616" s="61">
        <v>4.6789999999999985</v>
      </c>
      <c r="G1616" s="25">
        <v>205000</v>
      </c>
    </row>
    <row r="1617" spans="2:7">
      <c r="B1617" s="24">
        <v>20</v>
      </c>
      <c r="C1617" s="24" t="s">
        <v>264</v>
      </c>
      <c r="D1617" s="36" t="s">
        <v>233</v>
      </c>
      <c r="E1617" s="36" t="s">
        <v>1140</v>
      </c>
      <c r="F1617" s="61">
        <v>0</v>
      </c>
      <c r="G1617" s="25">
        <v>209000</v>
      </c>
    </row>
    <row r="1618" spans="2:7">
      <c r="B1618" s="24">
        <v>20</v>
      </c>
      <c r="C1618" s="24" t="s">
        <v>768</v>
      </c>
      <c r="D1618" s="109" t="s">
        <v>1135</v>
      </c>
      <c r="E1618" s="36" t="s">
        <v>1140</v>
      </c>
      <c r="F1618" s="61">
        <v>5.2239999999999895</v>
      </c>
      <c r="G1618" s="25">
        <v>183000</v>
      </c>
    </row>
    <row r="1619" spans="2:7">
      <c r="B1619" s="24">
        <v>20</v>
      </c>
      <c r="C1619" s="24" t="s">
        <v>768</v>
      </c>
      <c r="D1619" s="36" t="s">
        <v>233</v>
      </c>
      <c r="E1619" s="36" t="s">
        <v>1140</v>
      </c>
      <c r="F1619" s="61">
        <v>2.0249999999999995</v>
      </c>
      <c r="G1619" s="25">
        <v>213900</v>
      </c>
    </row>
    <row r="1620" spans="2:7">
      <c r="B1620" s="24">
        <v>20</v>
      </c>
      <c r="C1620" s="24" t="s">
        <v>769</v>
      </c>
      <c r="D1620" s="109" t="s">
        <v>1135</v>
      </c>
      <c r="E1620" s="36" t="s">
        <v>1140</v>
      </c>
      <c r="F1620" s="61">
        <v>2.3404000000000091</v>
      </c>
      <c r="G1620" s="25">
        <v>189000</v>
      </c>
    </row>
    <row r="1621" spans="2:7">
      <c r="B1621" s="24">
        <v>20</v>
      </c>
      <c r="C1621" s="24" t="s">
        <v>769</v>
      </c>
      <c r="D1621" s="36" t="s">
        <v>233</v>
      </c>
      <c r="E1621" s="36" t="s">
        <v>1140</v>
      </c>
      <c r="F1621" s="61">
        <v>0.29000000000000004</v>
      </c>
      <c r="G1621" s="25">
        <v>211700</v>
      </c>
    </row>
    <row r="1622" spans="2:7">
      <c r="B1622" s="24">
        <v>20</v>
      </c>
      <c r="C1622" s="24" t="s">
        <v>769</v>
      </c>
      <c r="D1622" s="104" t="s">
        <v>930</v>
      </c>
      <c r="E1622" s="36" t="s">
        <v>1140</v>
      </c>
      <c r="F1622" s="107">
        <v>0.10399999999999998</v>
      </c>
      <c r="G1622" s="110">
        <v>186717</v>
      </c>
    </row>
    <row r="1623" spans="2:7">
      <c r="B1623" s="24">
        <v>20</v>
      </c>
      <c r="C1623" s="24" t="s">
        <v>265</v>
      </c>
      <c r="D1623" s="109" t="s">
        <v>1135</v>
      </c>
      <c r="E1623" s="36" t="s">
        <v>1140</v>
      </c>
      <c r="F1623" s="61">
        <v>4.0350000000000072</v>
      </c>
      <c r="G1623" s="25">
        <v>179000</v>
      </c>
    </row>
    <row r="1624" spans="2:7">
      <c r="B1624" s="24">
        <v>20</v>
      </c>
      <c r="C1624" s="24" t="s">
        <v>265</v>
      </c>
      <c r="D1624" s="36" t="s">
        <v>233</v>
      </c>
      <c r="E1624" s="36" t="s">
        <v>1140</v>
      </c>
      <c r="F1624" s="61">
        <v>0.65000000000000013</v>
      </c>
      <c r="G1624" s="25">
        <v>210500</v>
      </c>
    </row>
    <row r="1625" spans="2:7">
      <c r="B1625" s="24">
        <v>20</v>
      </c>
      <c r="C1625" s="24" t="s">
        <v>266</v>
      </c>
      <c r="D1625" s="109" t="s">
        <v>1135</v>
      </c>
      <c r="E1625" s="36" t="s">
        <v>1140</v>
      </c>
      <c r="F1625" s="61">
        <v>5.1249999999999982</v>
      </c>
      <c r="G1625" s="25">
        <v>178700</v>
      </c>
    </row>
    <row r="1626" spans="2:7">
      <c r="B1626" s="24">
        <v>20</v>
      </c>
      <c r="C1626" s="24" t="s">
        <v>266</v>
      </c>
      <c r="D1626" s="36" t="s">
        <v>233</v>
      </c>
      <c r="E1626" s="36" t="s">
        <v>1140</v>
      </c>
      <c r="F1626" s="61">
        <v>0.38000000000000028</v>
      </c>
      <c r="G1626" s="25">
        <v>209700</v>
      </c>
    </row>
    <row r="1627" spans="2:7">
      <c r="B1627" s="24" t="s">
        <v>234</v>
      </c>
      <c r="C1627" s="24" t="s">
        <v>266</v>
      </c>
      <c r="D1627" s="36" t="s">
        <v>233</v>
      </c>
      <c r="E1627" s="36" t="s">
        <v>1140</v>
      </c>
      <c r="F1627" s="61">
        <v>3.8350000000000013</v>
      </c>
      <c r="G1627" s="25">
        <v>250776</v>
      </c>
    </row>
    <row r="1628" spans="2:7">
      <c r="B1628" s="24">
        <v>20</v>
      </c>
      <c r="C1628" s="24" t="s">
        <v>267</v>
      </c>
      <c r="D1628" s="109" t="s">
        <v>1135</v>
      </c>
      <c r="E1628" s="36" t="s">
        <v>1140</v>
      </c>
      <c r="F1628" s="61">
        <v>5.3169999999999948</v>
      </c>
      <c r="G1628" s="25">
        <v>178500</v>
      </c>
    </row>
    <row r="1629" spans="2:7">
      <c r="B1629" s="24">
        <v>20</v>
      </c>
      <c r="C1629" s="24" t="s">
        <v>267</v>
      </c>
      <c r="D1629" s="36" t="s">
        <v>233</v>
      </c>
      <c r="E1629" s="36" t="s">
        <v>1140</v>
      </c>
      <c r="F1629" s="61">
        <v>2.3E-2</v>
      </c>
      <c r="G1629" s="25">
        <v>209500</v>
      </c>
    </row>
    <row r="1630" spans="2:7">
      <c r="B1630" s="24">
        <v>20</v>
      </c>
      <c r="C1630" s="24" t="s">
        <v>268</v>
      </c>
      <c r="D1630" s="109" t="s">
        <v>1135</v>
      </c>
      <c r="E1630" s="36" t="s">
        <v>1140</v>
      </c>
      <c r="F1630" s="61">
        <v>12.906999999999996</v>
      </c>
      <c r="G1630" s="25">
        <v>177900</v>
      </c>
    </row>
    <row r="1631" spans="2:7">
      <c r="B1631" s="24">
        <v>20</v>
      </c>
      <c r="C1631" s="24" t="s">
        <v>268</v>
      </c>
      <c r="D1631" s="36" t="s">
        <v>233</v>
      </c>
      <c r="E1631" s="36" t="s">
        <v>1140</v>
      </c>
      <c r="F1631" s="61">
        <v>1.925</v>
      </c>
      <c r="G1631" s="25">
        <v>208700</v>
      </c>
    </row>
    <row r="1632" spans="2:7">
      <c r="B1632" s="24">
        <v>20</v>
      </c>
      <c r="C1632" s="24" t="s">
        <v>268</v>
      </c>
      <c r="D1632" s="104" t="s">
        <v>930</v>
      </c>
      <c r="E1632" s="36" t="s">
        <v>1140</v>
      </c>
      <c r="F1632" s="107">
        <v>0.16199999999999998</v>
      </c>
      <c r="G1632" s="110">
        <v>184144</v>
      </c>
    </row>
    <row r="1633" spans="2:7">
      <c r="B1633" s="24">
        <v>20</v>
      </c>
      <c r="C1633" s="24" t="s">
        <v>269</v>
      </c>
      <c r="D1633" s="109" t="s">
        <v>1135</v>
      </c>
      <c r="E1633" s="36" t="s">
        <v>1140</v>
      </c>
      <c r="F1633" s="61">
        <v>0.29000000000000165</v>
      </c>
      <c r="G1633" s="25">
        <v>178400</v>
      </c>
    </row>
    <row r="1634" spans="2:7">
      <c r="B1634" s="24">
        <v>20</v>
      </c>
      <c r="C1634" s="24" t="s">
        <v>269</v>
      </c>
      <c r="D1634" s="36" t="s">
        <v>233</v>
      </c>
      <c r="E1634" s="36" t="s">
        <v>1140</v>
      </c>
      <c r="F1634" s="61">
        <v>1.9100000000000001</v>
      </c>
      <c r="G1634" s="25">
        <v>209400</v>
      </c>
    </row>
    <row r="1635" spans="2:7">
      <c r="B1635" s="24">
        <v>20</v>
      </c>
      <c r="C1635" s="24" t="s">
        <v>270</v>
      </c>
      <c r="D1635" s="109" t="s">
        <v>1135</v>
      </c>
      <c r="E1635" s="36" t="s">
        <v>1140</v>
      </c>
      <c r="F1635" s="61">
        <v>6.5609999999999982</v>
      </c>
      <c r="G1635" s="25">
        <v>177500</v>
      </c>
    </row>
    <row r="1636" spans="2:7">
      <c r="B1636" s="24">
        <v>20</v>
      </c>
      <c r="C1636" s="24" t="s">
        <v>270</v>
      </c>
      <c r="D1636" s="36" t="s">
        <v>233</v>
      </c>
      <c r="E1636" s="36" t="s">
        <v>1140</v>
      </c>
      <c r="F1636" s="61">
        <v>0</v>
      </c>
      <c r="G1636" s="25">
        <v>208300</v>
      </c>
    </row>
    <row r="1637" spans="2:7">
      <c r="B1637" s="24">
        <v>20</v>
      </c>
      <c r="C1637" s="24" t="s">
        <v>1118</v>
      </c>
      <c r="D1637" s="109" t="s">
        <v>1135</v>
      </c>
      <c r="E1637" s="36" t="s">
        <v>1140</v>
      </c>
      <c r="F1637" s="61">
        <v>3.5000000000000003E-2</v>
      </c>
      <c r="G1637" s="25" t="s">
        <v>1115</v>
      </c>
    </row>
    <row r="1638" spans="2:7">
      <c r="B1638" s="24">
        <v>20</v>
      </c>
      <c r="C1638" s="24" t="s">
        <v>271</v>
      </c>
      <c r="D1638" s="109" t="s">
        <v>1135</v>
      </c>
      <c r="E1638" s="36" t="s">
        <v>1140</v>
      </c>
      <c r="F1638" s="61">
        <v>3.8099999999999996</v>
      </c>
      <c r="G1638" s="25">
        <v>178500</v>
      </c>
    </row>
    <row r="1639" spans="2:7">
      <c r="B1639" s="24">
        <v>20</v>
      </c>
      <c r="C1639" s="24" t="s">
        <v>271</v>
      </c>
      <c r="D1639" s="36" t="s">
        <v>233</v>
      </c>
      <c r="E1639" s="36" t="s">
        <v>1140</v>
      </c>
      <c r="F1639" s="61">
        <v>1.145</v>
      </c>
      <c r="G1639" s="25">
        <v>209400</v>
      </c>
    </row>
    <row r="1640" spans="2:7">
      <c r="B1640" s="24">
        <v>20</v>
      </c>
      <c r="C1640" s="24" t="s">
        <v>271</v>
      </c>
      <c r="D1640" s="104" t="s">
        <v>930</v>
      </c>
      <c r="E1640" s="36" t="s">
        <v>1140</v>
      </c>
      <c r="F1640" s="107">
        <v>6.3E-2</v>
      </c>
      <c r="G1640" s="110">
        <v>184748</v>
      </c>
    </row>
    <row r="1641" spans="2:7">
      <c r="B1641" s="24">
        <v>20</v>
      </c>
      <c r="C1641" s="24" t="s">
        <v>770</v>
      </c>
      <c r="D1641" s="109" t="s">
        <v>1135</v>
      </c>
      <c r="E1641" s="36" t="s">
        <v>1140</v>
      </c>
      <c r="F1641" s="61">
        <v>8.8499999999999961</v>
      </c>
      <c r="G1641" s="25">
        <v>178400</v>
      </c>
    </row>
    <row r="1642" spans="2:7">
      <c r="B1642" s="24">
        <v>20</v>
      </c>
      <c r="C1642" s="24" t="s">
        <v>770</v>
      </c>
      <c r="D1642" s="36" t="s">
        <v>233</v>
      </c>
      <c r="E1642" s="36" t="s">
        <v>1140</v>
      </c>
      <c r="F1642" s="61">
        <v>4.0999999999999773E-2</v>
      </c>
      <c r="G1642" s="25">
        <v>209300</v>
      </c>
    </row>
    <row r="1643" spans="2:7">
      <c r="B1643" s="24">
        <v>20</v>
      </c>
      <c r="C1643" s="24" t="s">
        <v>272</v>
      </c>
      <c r="D1643" s="109" t="s">
        <v>1135</v>
      </c>
      <c r="E1643" s="36" t="s">
        <v>1140</v>
      </c>
      <c r="F1643" s="61">
        <v>7.7389999999999999</v>
      </c>
      <c r="G1643" s="25">
        <v>177800</v>
      </c>
    </row>
    <row r="1644" spans="2:7">
      <c r="B1644" s="24">
        <v>20</v>
      </c>
      <c r="C1644" s="24" t="s">
        <v>272</v>
      </c>
      <c r="D1644" s="36" t="s">
        <v>233</v>
      </c>
      <c r="E1644" s="36" t="s">
        <v>1140</v>
      </c>
      <c r="F1644" s="61">
        <v>0</v>
      </c>
      <c r="G1644" s="25">
        <v>208700</v>
      </c>
    </row>
    <row r="1645" spans="2:7">
      <c r="B1645" s="24">
        <v>20</v>
      </c>
      <c r="C1645" s="24" t="s">
        <v>273</v>
      </c>
      <c r="D1645" s="109" t="s">
        <v>1135</v>
      </c>
      <c r="E1645" s="36" t="s">
        <v>1140</v>
      </c>
      <c r="F1645" s="61">
        <v>0.26899999999999935</v>
      </c>
      <c r="G1645" s="25">
        <v>178600</v>
      </c>
    </row>
    <row r="1646" spans="2:7">
      <c r="B1646" s="24">
        <v>20</v>
      </c>
      <c r="C1646" s="24" t="s">
        <v>273</v>
      </c>
      <c r="D1646" s="36" t="s">
        <v>233</v>
      </c>
      <c r="E1646" s="36" t="s">
        <v>1140</v>
      </c>
      <c r="F1646" s="61">
        <v>0</v>
      </c>
      <c r="G1646" s="25">
        <v>209600</v>
      </c>
    </row>
    <row r="1647" spans="2:7">
      <c r="B1647" s="24">
        <v>20</v>
      </c>
      <c r="C1647" s="24" t="s">
        <v>274</v>
      </c>
      <c r="D1647" s="109" t="s">
        <v>1135</v>
      </c>
      <c r="E1647" s="36" t="s">
        <v>1140</v>
      </c>
      <c r="F1647" s="61">
        <v>4.7890000000000006</v>
      </c>
      <c r="G1647" s="25">
        <v>204500</v>
      </c>
    </row>
    <row r="1648" spans="2:7">
      <c r="B1648" s="24">
        <v>20</v>
      </c>
      <c r="C1648" s="24" t="s">
        <v>274</v>
      </c>
      <c r="D1648" s="36" t="s">
        <v>233</v>
      </c>
      <c r="E1648" s="36" t="s">
        <v>1140</v>
      </c>
      <c r="F1648" s="61">
        <v>0</v>
      </c>
      <c r="G1648" s="25">
        <v>208600</v>
      </c>
    </row>
    <row r="1649" spans="2:7">
      <c r="B1649" s="24" t="s">
        <v>234</v>
      </c>
      <c r="C1649" s="24" t="s">
        <v>274</v>
      </c>
      <c r="D1649" s="36" t="s">
        <v>233</v>
      </c>
      <c r="E1649" s="36" t="s">
        <v>1140</v>
      </c>
      <c r="F1649" s="61">
        <v>0</v>
      </c>
      <c r="G1649" s="25">
        <v>249451</v>
      </c>
    </row>
    <row r="1650" spans="2:7">
      <c r="B1650" s="24">
        <v>20</v>
      </c>
      <c r="C1650" s="24" t="s">
        <v>275</v>
      </c>
      <c r="D1650" s="109" t="s">
        <v>1135</v>
      </c>
      <c r="E1650" s="36" t="s">
        <v>1140</v>
      </c>
      <c r="F1650" s="61">
        <v>7.3609999999999989</v>
      </c>
      <c r="G1650" s="25">
        <v>257700</v>
      </c>
    </row>
    <row r="1651" spans="2:7">
      <c r="B1651" s="24">
        <v>20</v>
      </c>
      <c r="C1651" s="24" t="s">
        <v>275</v>
      </c>
      <c r="D1651" s="36" t="s">
        <v>233</v>
      </c>
      <c r="E1651" s="36" t="s">
        <v>1140</v>
      </c>
      <c r="F1651" s="61">
        <v>0</v>
      </c>
      <c r="G1651" s="25">
        <v>262800</v>
      </c>
    </row>
    <row r="1652" spans="2:7">
      <c r="B1652" s="24">
        <v>20</v>
      </c>
      <c r="C1652" s="24" t="s">
        <v>771</v>
      </c>
      <c r="D1652" s="109" t="s">
        <v>1135</v>
      </c>
      <c r="E1652" s="36" t="s">
        <v>1140</v>
      </c>
      <c r="F1652" s="61">
        <v>2.7930000000000001</v>
      </c>
      <c r="G1652" s="25">
        <v>207000</v>
      </c>
    </row>
    <row r="1653" spans="2:7">
      <c r="B1653" s="24">
        <v>20</v>
      </c>
      <c r="C1653" s="24" t="s">
        <v>771</v>
      </c>
      <c r="D1653" s="36" t="s">
        <v>233</v>
      </c>
      <c r="E1653" s="36" t="s">
        <v>1140</v>
      </c>
      <c r="F1653" s="61">
        <v>0.10300000000000001</v>
      </c>
      <c r="G1653" s="25">
        <v>211100</v>
      </c>
    </row>
    <row r="1654" spans="2:7">
      <c r="B1654" s="24">
        <v>20</v>
      </c>
      <c r="C1654" s="24" t="s">
        <v>867</v>
      </c>
      <c r="D1654" s="109" t="s">
        <v>1135</v>
      </c>
      <c r="E1654" s="36" t="s">
        <v>1140</v>
      </c>
      <c r="F1654" s="61">
        <v>0.28300000000000053</v>
      </c>
      <c r="G1654" s="25">
        <v>205500</v>
      </c>
    </row>
    <row r="1655" spans="2:7">
      <c r="B1655" s="24">
        <v>20</v>
      </c>
      <c r="C1655" s="24" t="s">
        <v>867</v>
      </c>
      <c r="D1655" s="36" t="s">
        <v>233</v>
      </c>
      <c r="E1655" s="36" t="s">
        <v>1140</v>
      </c>
      <c r="F1655" s="61">
        <v>0</v>
      </c>
      <c r="G1655" s="25">
        <v>209600</v>
      </c>
    </row>
    <row r="1656" spans="2:7">
      <c r="B1656" s="24">
        <v>20</v>
      </c>
      <c r="C1656" s="24" t="s">
        <v>772</v>
      </c>
      <c r="D1656" s="109" t="s">
        <v>1135</v>
      </c>
      <c r="E1656" s="36" t="s">
        <v>1140</v>
      </c>
      <c r="F1656" s="61">
        <v>0</v>
      </c>
      <c r="G1656" s="25">
        <v>209000</v>
      </c>
    </row>
    <row r="1657" spans="2:7">
      <c r="B1657" s="24">
        <v>20</v>
      </c>
      <c r="C1657" s="24" t="s">
        <v>772</v>
      </c>
      <c r="D1657" s="36" t="s">
        <v>233</v>
      </c>
      <c r="E1657" s="36" t="s">
        <v>1140</v>
      </c>
      <c r="F1657" s="61">
        <v>0</v>
      </c>
      <c r="G1657" s="25">
        <v>213200</v>
      </c>
    </row>
    <row r="1658" spans="2:7">
      <c r="B1658" s="24">
        <v>20</v>
      </c>
      <c r="C1658" s="24" t="s">
        <v>31</v>
      </c>
      <c r="D1658" s="109" t="s">
        <v>1135</v>
      </c>
      <c r="E1658" s="36" t="s">
        <v>1140</v>
      </c>
      <c r="F1658" s="61">
        <v>13.537000000000003</v>
      </c>
      <c r="G1658" s="25">
        <v>188600</v>
      </c>
    </row>
    <row r="1659" spans="2:7">
      <c r="B1659" s="24">
        <v>20</v>
      </c>
      <c r="C1659" s="24" t="s">
        <v>31</v>
      </c>
      <c r="D1659" s="36" t="s">
        <v>233</v>
      </c>
      <c r="E1659" s="36" t="s">
        <v>1140</v>
      </c>
      <c r="F1659" s="61">
        <v>0</v>
      </c>
      <c r="G1659" s="25">
        <v>211100</v>
      </c>
    </row>
    <row r="1660" spans="2:7">
      <c r="B1660" s="24" t="s">
        <v>234</v>
      </c>
      <c r="C1660" s="24" t="s">
        <v>31</v>
      </c>
      <c r="D1660" s="36" t="s">
        <v>233</v>
      </c>
      <c r="E1660" s="36" t="s">
        <v>1140</v>
      </c>
      <c r="F1660" s="61">
        <v>1.708</v>
      </c>
      <c r="G1660" s="25">
        <v>252446</v>
      </c>
    </row>
    <row r="1661" spans="2:7">
      <c r="B1661" s="24" t="s">
        <v>234</v>
      </c>
      <c r="C1661" s="24" t="s">
        <v>276</v>
      </c>
      <c r="D1661" s="36" t="s">
        <v>233</v>
      </c>
      <c r="E1661" s="36" t="s">
        <v>1140</v>
      </c>
      <c r="F1661" s="61">
        <v>3.0999999999999972E-2</v>
      </c>
      <c r="G1661" s="25">
        <v>251382</v>
      </c>
    </row>
    <row r="1662" spans="2:7">
      <c r="B1662" s="24">
        <v>20</v>
      </c>
      <c r="C1662" s="24" t="s">
        <v>277</v>
      </c>
      <c r="D1662" s="109" t="s">
        <v>1135</v>
      </c>
      <c r="E1662" s="36" t="s">
        <v>1140</v>
      </c>
      <c r="F1662" s="61">
        <v>8.4290000000000003</v>
      </c>
      <c r="G1662" s="25">
        <v>206000</v>
      </c>
    </row>
    <row r="1663" spans="2:7">
      <c r="B1663" s="24">
        <v>20</v>
      </c>
      <c r="C1663" s="24" t="s">
        <v>277</v>
      </c>
      <c r="D1663" s="36" t="s">
        <v>233</v>
      </c>
      <c r="E1663" s="36" t="s">
        <v>1140</v>
      </c>
      <c r="F1663" s="61">
        <v>0</v>
      </c>
      <c r="G1663" s="25">
        <v>210100</v>
      </c>
    </row>
    <row r="1664" spans="2:7">
      <c r="B1664" s="24">
        <v>20</v>
      </c>
      <c r="C1664" s="24" t="s">
        <v>32</v>
      </c>
      <c r="D1664" s="109" t="s">
        <v>1135</v>
      </c>
      <c r="E1664" s="36" t="s">
        <v>1140</v>
      </c>
      <c r="F1664" s="61">
        <v>2.9910000000000001</v>
      </c>
      <c r="G1664" s="25">
        <v>205300</v>
      </c>
    </row>
    <row r="1665" spans="2:7">
      <c r="B1665" s="24">
        <v>20</v>
      </c>
      <c r="C1665" s="24" t="s">
        <v>32</v>
      </c>
      <c r="D1665" s="36" t="s">
        <v>233</v>
      </c>
      <c r="E1665" s="36" t="s">
        <v>1140</v>
      </c>
      <c r="F1665" s="61">
        <v>7.4999999999999997E-2</v>
      </c>
      <c r="G1665" s="25">
        <v>209400</v>
      </c>
    </row>
    <row r="1666" spans="2:7">
      <c r="B1666" s="24" t="s">
        <v>234</v>
      </c>
      <c r="C1666" s="24" t="s">
        <v>32</v>
      </c>
      <c r="D1666" s="36" t="s">
        <v>233</v>
      </c>
      <c r="E1666" s="36" t="s">
        <v>1140</v>
      </c>
      <c r="F1666" s="61">
        <v>-1.1969591984239969E-16</v>
      </c>
      <c r="G1666" s="25">
        <v>250436</v>
      </c>
    </row>
    <row r="1667" spans="2:7">
      <c r="B1667" s="24">
        <v>20</v>
      </c>
      <c r="C1667" s="24" t="s">
        <v>154</v>
      </c>
      <c r="D1667" s="109" t="s">
        <v>1135</v>
      </c>
      <c r="E1667" s="36" t="s">
        <v>1140</v>
      </c>
      <c r="F1667" s="61">
        <v>0</v>
      </c>
      <c r="G1667" s="25">
        <v>205100</v>
      </c>
    </row>
    <row r="1668" spans="2:7">
      <c r="B1668" s="24">
        <v>20</v>
      </c>
      <c r="C1668" s="24" t="s">
        <v>154</v>
      </c>
      <c r="D1668" s="36" t="s">
        <v>233</v>
      </c>
      <c r="E1668" s="36" t="s">
        <v>1140</v>
      </c>
      <c r="F1668" s="61">
        <v>0</v>
      </c>
      <c r="G1668" s="25">
        <v>209200</v>
      </c>
    </row>
    <row r="1669" spans="2:7">
      <c r="B1669" s="24">
        <v>20</v>
      </c>
      <c r="C1669" s="24" t="s">
        <v>119</v>
      </c>
      <c r="D1669" s="109" t="s">
        <v>1135</v>
      </c>
      <c r="E1669" s="36" t="s">
        <v>1140</v>
      </c>
      <c r="F1669" s="61">
        <v>0</v>
      </c>
      <c r="G1669" s="25">
        <v>203500</v>
      </c>
    </row>
    <row r="1670" spans="2:7">
      <c r="B1670" s="24">
        <v>20</v>
      </c>
      <c r="C1670" s="24" t="s">
        <v>119</v>
      </c>
      <c r="D1670" s="36" t="s">
        <v>233</v>
      </c>
      <c r="E1670" s="36" t="s">
        <v>1140</v>
      </c>
      <c r="F1670" s="61">
        <v>0</v>
      </c>
      <c r="G1670" s="25">
        <v>207600</v>
      </c>
    </row>
    <row r="1671" spans="2:7">
      <c r="B1671" s="24" t="s">
        <v>234</v>
      </c>
      <c r="C1671" s="24" t="s">
        <v>119</v>
      </c>
      <c r="D1671" s="36" t="s">
        <v>233</v>
      </c>
      <c r="E1671" s="36" t="s">
        <v>1140</v>
      </c>
      <c r="F1671" s="61">
        <v>0</v>
      </c>
      <c r="G1671" s="25">
        <v>248281</v>
      </c>
    </row>
    <row r="1672" spans="2:7">
      <c r="B1672" s="24">
        <v>20</v>
      </c>
      <c r="C1672" s="24" t="s">
        <v>33</v>
      </c>
      <c r="D1672" s="109" t="s">
        <v>1135</v>
      </c>
      <c r="E1672" s="36" t="s">
        <v>1140</v>
      </c>
      <c r="F1672" s="61">
        <v>3.4580000000000015</v>
      </c>
      <c r="G1672" s="25">
        <v>207000</v>
      </c>
    </row>
    <row r="1673" spans="2:7">
      <c r="B1673" s="24">
        <v>20</v>
      </c>
      <c r="C1673" s="24" t="s">
        <v>33</v>
      </c>
      <c r="D1673" s="36" t="s">
        <v>233</v>
      </c>
      <c r="E1673" s="36" t="s">
        <v>1140</v>
      </c>
      <c r="F1673" s="61">
        <v>-6.9388939039072284E-17</v>
      </c>
      <c r="G1673" s="25">
        <v>211100</v>
      </c>
    </row>
    <row r="1674" spans="2:7">
      <c r="B1674" s="24">
        <v>20</v>
      </c>
      <c r="C1674" s="24" t="s">
        <v>34</v>
      </c>
      <c r="D1674" s="109" t="s">
        <v>1135</v>
      </c>
      <c r="E1674" s="36" t="s">
        <v>1140</v>
      </c>
      <c r="F1674" s="61">
        <v>-2.7755575615628914E-17</v>
      </c>
      <c r="G1674" s="25">
        <v>206000</v>
      </c>
    </row>
    <row r="1675" spans="2:7">
      <c r="B1675" s="24">
        <v>20</v>
      </c>
      <c r="C1675" s="24" t="s">
        <v>34</v>
      </c>
      <c r="D1675" s="36" t="s">
        <v>233</v>
      </c>
      <c r="E1675" s="36" t="s">
        <v>1140</v>
      </c>
      <c r="F1675" s="61">
        <v>0</v>
      </c>
      <c r="G1675" s="25">
        <v>210100</v>
      </c>
    </row>
    <row r="1676" spans="2:7">
      <c r="B1676" s="24">
        <v>20</v>
      </c>
      <c r="C1676" s="24" t="s">
        <v>773</v>
      </c>
      <c r="D1676" s="109" t="s">
        <v>1135</v>
      </c>
      <c r="E1676" s="36" t="s">
        <v>1140</v>
      </c>
      <c r="F1676" s="61">
        <v>1.6309999999999989</v>
      </c>
      <c r="G1676" s="25">
        <v>207000</v>
      </c>
    </row>
    <row r="1677" spans="2:7">
      <c r="B1677" s="24">
        <v>20</v>
      </c>
      <c r="C1677" s="24" t="s">
        <v>773</v>
      </c>
      <c r="D1677" s="36" t="s">
        <v>233</v>
      </c>
      <c r="E1677" s="36" t="s">
        <v>1140</v>
      </c>
      <c r="F1677" s="61">
        <v>0</v>
      </c>
      <c r="G1677" s="25">
        <v>211100</v>
      </c>
    </row>
    <row r="1678" spans="2:7">
      <c r="B1678" s="24">
        <v>20</v>
      </c>
      <c r="C1678" s="24" t="s">
        <v>1028</v>
      </c>
      <c r="D1678" s="109" t="s">
        <v>1135</v>
      </c>
      <c r="E1678" s="36" t="s">
        <v>1140</v>
      </c>
      <c r="F1678" s="61">
        <v>2.7170000000000005</v>
      </c>
      <c r="G1678" s="25">
        <v>207000</v>
      </c>
    </row>
    <row r="1679" spans="2:7">
      <c r="B1679" s="24">
        <v>20</v>
      </c>
      <c r="C1679" s="24" t="s">
        <v>1028</v>
      </c>
      <c r="D1679" s="36" t="s">
        <v>233</v>
      </c>
      <c r="E1679" s="36" t="s">
        <v>1140</v>
      </c>
      <c r="F1679" s="61">
        <v>0</v>
      </c>
      <c r="G1679" s="25">
        <v>211100</v>
      </c>
    </row>
    <row r="1680" spans="2:7">
      <c r="B1680" s="24">
        <v>20</v>
      </c>
      <c r="C1680" s="24" t="s">
        <v>943</v>
      </c>
      <c r="D1680" s="109" t="s">
        <v>1135</v>
      </c>
      <c r="E1680" s="36" t="s">
        <v>1140</v>
      </c>
      <c r="F1680" s="61">
        <v>2.738</v>
      </c>
      <c r="G1680" s="25">
        <v>207000</v>
      </c>
    </row>
    <row r="1681" spans="2:7">
      <c r="B1681" s="24">
        <v>20</v>
      </c>
      <c r="C1681" s="24" t="s">
        <v>943</v>
      </c>
      <c r="D1681" s="36" t="s">
        <v>233</v>
      </c>
      <c r="E1681" s="36" t="s">
        <v>1140</v>
      </c>
      <c r="F1681" s="61">
        <v>0</v>
      </c>
      <c r="G1681" s="25">
        <v>211100</v>
      </c>
    </row>
    <row r="1682" spans="2:7">
      <c r="B1682" s="24">
        <v>20</v>
      </c>
      <c r="C1682" s="24" t="s">
        <v>295</v>
      </c>
      <c r="D1682" s="109" t="s">
        <v>1135</v>
      </c>
      <c r="E1682" s="36" t="s">
        <v>1140</v>
      </c>
      <c r="F1682" s="61">
        <v>0</v>
      </c>
      <c r="G1682" s="25">
        <v>206000</v>
      </c>
    </row>
    <row r="1683" spans="2:7">
      <c r="B1683" s="24">
        <v>20</v>
      </c>
      <c r="C1683" s="24" t="s">
        <v>295</v>
      </c>
      <c r="D1683" s="36" t="s">
        <v>233</v>
      </c>
      <c r="E1683" s="36" t="s">
        <v>1140</v>
      </c>
      <c r="F1683" s="61">
        <v>0</v>
      </c>
      <c r="G1683" s="25">
        <v>210100</v>
      </c>
    </row>
    <row r="1684" spans="2:7">
      <c r="B1684" s="24">
        <v>20</v>
      </c>
      <c r="C1684" s="24" t="s">
        <v>121</v>
      </c>
      <c r="D1684" s="109" t="s">
        <v>1135</v>
      </c>
      <c r="E1684" s="36" t="s">
        <v>1140</v>
      </c>
      <c r="F1684" s="61">
        <v>0</v>
      </c>
      <c r="G1684" s="25">
        <v>209000</v>
      </c>
    </row>
    <row r="1685" spans="2:7">
      <c r="B1685" s="24">
        <v>20</v>
      </c>
      <c r="C1685" s="24" t="s">
        <v>121</v>
      </c>
      <c r="D1685" s="36" t="s">
        <v>233</v>
      </c>
      <c r="E1685" s="36" t="s">
        <v>1140</v>
      </c>
      <c r="F1685" s="61">
        <v>0</v>
      </c>
      <c r="G1685" s="25">
        <v>213200</v>
      </c>
    </row>
    <row r="1686" spans="2:7">
      <c r="B1686" s="24">
        <v>20</v>
      </c>
      <c r="C1686" s="24" t="s">
        <v>774</v>
      </c>
      <c r="D1686" s="109" t="s">
        <v>1135</v>
      </c>
      <c r="E1686" s="36" t="s">
        <v>1140</v>
      </c>
      <c r="F1686" s="61">
        <v>7.4690000000000003</v>
      </c>
      <c r="G1686" s="25">
        <v>207000</v>
      </c>
    </row>
    <row r="1687" spans="2:7">
      <c r="B1687" s="24">
        <v>20</v>
      </c>
      <c r="C1687" s="24" t="s">
        <v>774</v>
      </c>
      <c r="D1687" s="36" t="s">
        <v>233</v>
      </c>
      <c r="E1687" s="36" t="s">
        <v>1140</v>
      </c>
      <c r="F1687" s="61">
        <v>2.0000000000000351E-2</v>
      </c>
      <c r="G1687" s="25">
        <v>211100</v>
      </c>
    </row>
    <row r="1688" spans="2:7">
      <c r="B1688" s="24">
        <v>20</v>
      </c>
      <c r="C1688" s="24" t="s">
        <v>1119</v>
      </c>
      <c r="D1688" s="36" t="s">
        <v>233</v>
      </c>
      <c r="E1688" s="36" t="s">
        <v>1140</v>
      </c>
      <c r="F1688" s="61">
        <v>0</v>
      </c>
      <c r="G1688" s="25">
        <v>206000</v>
      </c>
    </row>
    <row r="1689" spans="2:7">
      <c r="B1689" s="24">
        <v>20</v>
      </c>
      <c r="C1689" s="24" t="s">
        <v>303</v>
      </c>
      <c r="D1689" s="109" t="s">
        <v>1135</v>
      </c>
      <c r="E1689" s="36" t="s">
        <v>1140</v>
      </c>
      <c r="F1689" s="61">
        <v>3.3560000000000043</v>
      </c>
      <c r="G1689" s="25">
        <v>205300</v>
      </c>
    </row>
    <row r="1690" spans="2:7">
      <c r="B1690" s="24">
        <v>20</v>
      </c>
      <c r="C1690" s="24" t="s">
        <v>303</v>
      </c>
      <c r="D1690" s="36" t="s">
        <v>233</v>
      </c>
      <c r="E1690" s="36" t="s">
        <v>1140</v>
      </c>
      <c r="F1690" s="61">
        <v>0.77500000000000002</v>
      </c>
      <c r="G1690" s="25">
        <v>209400</v>
      </c>
    </row>
    <row r="1691" spans="2:7">
      <c r="B1691" s="24">
        <v>20</v>
      </c>
      <c r="C1691" s="24" t="s">
        <v>167</v>
      </c>
      <c r="D1691" s="109" t="s">
        <v>1135</v>
      </c>
      <c r="E1691" s="36" t="s">
        <v>1140</v>
      </c>
      <c r="F1691" s="61">
        <v>9.6759999999999984</v>
      </c>
      <c r="G1691" s="25">
        <v>179900</v>
      </c>
    </row>
    <row r="1692" spans="2:7">
      <c r="B1692" s="24">
        <v>20</v>
      </c>
      <c r="C1692" s="24" t="s">
        <v>167</v>
      </c>
      <c r="D1692" s="36" t="s">
        <v>233</v>
      </c>
      <c r="E1692" s="36" t="s">
        <v>1140</v>
      </c>
      <c r="F1692" s="61">
        <v>-5.8980598183211441E-16</v>
      </c>
      <c r="G1692" s="25">
        <v>211100</v>
      </c>
    </row>
    <row r="1693" spans="2:7">
      <c r="B1693" s="28">
        <v>10</v>
      </c>
      <c r="C1693" s="24" t="s">
        <v>38</v>
      </c>
      <c r="D1693" s="36" t="s">
        <v>233</v>
      </c>
      <c r="E1693" s="36" t="s">
        <v>1140</v>
      </c>
      <c r="F1693" s="61">
        <v>0.23500000000000004</v>
      </c>
      <c r="G1693" s="25">
        <v>209400</v>
      </c>
    </row>
    <row r="1694" spans="2:7">
      <c r="B1694" s="28">
        <v>10</v>
      </c>
      <c r="C1694" s="24" t="s">
        <v>839</v>
      </c>
      <c r="D1694" s="36" t="s">
        <v>233</v>
      </c>
      <c r="E1694" s="36" t="s">
        <v>1140</v>
      </c>
      <c r="F1694" s="61">
        <v>5.0999999999999983E-2</v>
      </c>
      <c r="G1694" s="25">
        <v>306000</v>
      </c>
    </row>
    <row r="1695" spans="2:7">
      <c r="B1695" s="24">
        <v>20</v>
      </c>
      <c r="C1695" s="24" t="s">
        <v>368</v>
      </c>
      <c r="D1695" s="36" t="s">
        <v>233</v>
      </c>
      <c r="E1695" s="36" t="s">
        <v>1140</v>
      </c>
      <c r="F1695" s="61">
        <v>1.105</v>
      </c>
      <c r="G1695" s="25">
        <v>292000</v>
      </c>
    </row>
    <row r="1696" spans="2:7">
      <c r="B1696" s="28">
        <v>35</v>
      </c>
      <c r="C1696" s="24" t="s">
        <v>1120</v>
      </c>
      <c r="D1696" s="36" t="s">
        <v>233</v>
      </c>
      <c r="E1696" s="36" t="s">
        <v>1140</v>
      </c>
      <c r="F1696" s="61">
        <v>4.2389999999999999</v>
      </c>
      <c r="G1696" s="25" t="s">
        <v>1115</v>
      </c>
    </row>
    <row r="1697" spans="2:7">
      <c r="B1697" s="24">
        <v>20</v>
      </c>
      <c r="C1697" s="24" t="s">
        <v>840</v>
      </c>
      <c r="D1697" s="36" t="s">
        <v>233</v>
      </c>
      <c r="E1697" s="36" t="s">
        <v>1140</v>
      </c>
      <c r="F1697" s="61">
        <v>0.38000000000000006</v>
      </c>
      <c r="G1697" s="25">
        <v>315000</v>
      </c>
    </row>
    <row r="1698" spans="2:7">
      <c r="B1698" s="24">
        <v>20</v>
      </c>
      <c r="C1698" s="24" t="s">
        <v>1083</v>
      </c>
      <c r="D1698" s="36" t="s">
        <v>233</v>
      </c>
      <c r="E1698" s="36" t="s">
        <v>1140</v>
      </c>
      <c r="F1698" s="61">
        <v>1.6240000000000001</v>
      </c>
      <c r="G1698" s="25">
        <v>292000</v>
      </c>
    </row>
    <row r="1699" spans="2:7">
      <c r="B1699" s="24">
        <v>20</v>
      </c>
      <c r="C1699" s="24" t="s">
        <v>1084</v>
      </c>
      <c r="D1699" s="36" t="s">
        <v>233</v>
      </c>
      <c r="E1699" s="36" t="s">
        <v>1140</v>
      </c>
      <c r="F1699" s="61">
        <v>1.8089999999999999</v>
      </c>
      <c r="G1699" s="25">
        <v>292000</v>
      </c>
    </row>
  </sheetData>
  <mergeCells count="6">
    <mergeCell ref="A1322:I1322"/>
    <mergeCell ref="B9:F9"/>
    <mergeCell ref="B1076:I1076"/>
    <mergeCell ref="D4:E4"/>
    <mergeCell ref="D5:E5"/>
    <mergeCell ref="D6:E6"/>
  </mergeCells>
  <hyperlinks>
    <hyperlink ref="D5" r:id="rId1" xr:uid="{424E5903-08F7-0D4D-946F-C5C639C6417B}"/>
    <hyperlink ref="D6" r:id="rId2" xr:uid="{9A9CE2DE-48CC-2C44-A889-ABF64F9507F0}"/>
  </hyperlinks>
  <pageMargins left="0.7" right="0.7" top="0.75" bottom="0.75" header="0.3" footer="0.3"/>
  <pageSetup paperSize="9" scale="140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нержавеющий прокат</vt:lpstr>
      <vt:lpstr>черные трубы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Павел Штернштейн</cp:lastModifiedBy>
  <cp:lastPrinted>2013-03-29T08:05:24Z</cp:lastPrinted>
  <dcterms:created xsi:type="dcterms:W3CDTF">1996-10-08T23:32:33Z</dcterms:created>
  <dcterms:modified xsi:type="dcterms:W3CDTF">2026-07-21T08:09:00Z</dcterms:modified>
</cp:coreProperties>
</file>